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Y:\GRE_PUBLICACIONES\HISTORICOS 2021\Combustibles\"/>
    </mc:Choice>
  </mc:AlternateContent>
  <xr:revisionPtr revIDLastSave="0" documentId="13_ncr:1_{9A98F53B-89BC-45A2-B937-814C172AA1E1}" xr6:coauthVersionLast="45" xr6:coauthVersionMax="45" xr10:uidLastSave="{00000000-0000-0000-0000-000000000000}"/>
  <workbookProtection workbookPassword="C712" lockStructure="1"/>
  <bookViews>
    <workbookView xWindow="-109" yWindow="-109" windowWidth="26301" windowHeight="14305" tabRatio="838" firstSheet="4" activeTab="11" xr2:uid="{00000000-000D-0000-FFFF-FFFF00000000}"/>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COMBUSTIBLES  CAUCA" sheetId="124"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GENERACION'!$B$1:$F$34</definedName>
    <definedName name="_xlnm.Print_Area" localSheetId="3">'TARIFAS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124" l="1"/>
  <c r="D7" i="124" s="1"/>
  <c r="A2" i="124" l="1"/>
  <c r="E20" i="124"/>
  <c r="E18" i="124"/>
  <c r="T16" i="124"/>
  <c r="Q16" i="124"/>
  <c r="L16" i="124"/>
  <c r="E16" i="124"/>
  <c r="C16" i="124"/>
  <c r="D16" i="124" s="1"/>
  <c r="B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E9" i="95" l="1"/>
  <c r="A5" i="70" l="1"/>
  <c r="C8" i="70" l="1"/>
  <c r="N12" i="95"/>
  <c r="F53" i="121" l="1"/>
  <c r="G9" i="70" l="1"/>
  <c r="F9" i="70"/>
  <c r="D9" i="70"/>
  <c r="B9" i="70"/>
  <c r="J8" i="70"/>
  <c r="I8" i="70"/>
  <c r="C9" i="70"/>
  <c r="I7" i="70"/>
  <c r="I9" i="70" s="1"/>
  <c r="E8" i="70" l="1"/>
  <c r="J7" i="70"/>
  <c r="J9" i="70" s="1"/>
  <c r="H8" i="70" l="1"/>
  <c r="H9" i="70" s="1"/>
  <c r="E9" i="70"/>
  <c r="G9" i="95" l="1"/>
  <c r="N11" i="95" l="1"/>
  <c r="D9" i="46" l="1"/>
  <c r="H59" i="106" l="1"/>
  <c r="T16" i="1" l="1"/>
  <c r="E13" i="1"/>
  <c r="B13" i="1"/>
  <c r="C13" i="1" s="1"/>
  <c r="D13" i="1" s="1"/>
  <c r="C27" i="106" l="1"/>
  <c r="E11" i="124" s="1"/>
  <c r="Q43" i="122"/>
  <c r="C33" i="106" s="1"/>
  <c r="Q42" i="122"/>
  <c r="G13" i="106"/>
  <c r="B8" i="1" l="1"/>
  <c r="Q108" i="122" l="1"/>
  <c r="O106" i="122" l="1"/>
  <c r="P106" i="122" s="1"/>
  <c r="Q106" i="122" s="1"/>
  <c r="R106" i="122" s="1"/>
  <c r="B16" i="1" l="1"/>
  <c r="D30" i="121" l="1"/>
  <c r="C8" i="4"/>
  <c r="F30" i="121" l="1"/>
  <c r="E111" i="121" s="1"/>
  <c r="J30" i="121"/>
  <c r="E30" i="121"/>
  <c r="Q16" i="1" l="1"/>
  <c r="L16" i="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E110" i="121" l="1"/>
  <c r="D90" i="12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D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E8" i="4" l="1"/>
  <c r="K81" i="114" l="1"/>
  <c r="D111" i="121" l="1"/>
  <c r="F111" i="121" s="1"/>
  <c r="U11" i="70"/>
  <c r="T11" i="70"/>
  <c r="S11" i="70"/>
  <c r="R11" i="70"/>
  <c r="L111" i="121" l="1"/>
  <c r="E11" i="1" l="1"/>
  <c r="C11" i="1"/>
  <c r="B11" i="1"/>
  <c r="C32" i="106"/>
  <c r="D7" i="121" s="1"/>
  <c r="I13" i="70" l="1"/>
  <c r="D7" i="1"/>
  <c r="D76" i="121" l="1"/>
  <c r="D91" i="121" s="1"/>
  <c r="D54" i="121"/>
  <c r="K75" i="114"/>
  <c r="K73" i="114"/>
  <c r="H11" i="4"/>
  <c r="K78" i="114" s="1"/>
  <c r="K74" i="114"/>
  <c r="B6" i="95" l="1"/>
  <c r="D6" i="1" l="1"/>
  <c r="A2" i="116" l="1"/>
  <c r="E13" i="116"/>
  <c r="F13" i="116" s="1"/>
  <c r="E7" i="116"/>
  <c r="C13" i="116"/>
  <c r="D13" i="116" s="1"/>
  <c r="C7" i="116"/>
  <c r="D7" i="116" s="1"/>
  <c r="B7" i="116"/>
  <c r="F7" i="116" l="1"/>
  <c r="D8" i="4"/>
  <c r="K65" i="114" l="1"/>
  <c r="K60" i="114" l="1"/>
  <c r="K70" i="114" s="1"/>
  <c r="K83" i="114" s="1"/>
  <c r="C17" i="70" l="1"/>
  <c r="D17" i="70" s="1"/>
  <c r="I17" i="70" s="1"/>
  <c r="D16" i="70"/>
  <c r="I16" i="70" s="1"/>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F9" i="95"/>
  <c r="K197" i="114" s="1"/>
  <c r="C7" i="95"/>
  <c r="E8" i="95" s="1"/>
  <c r="A2" i="95"/>
  <c r="K124" i="114"/>
  <c r="D22" i="46"/>
  <c r="D24" i="46" s="1"/>
  <c r="C17" i="46"/>
  <c r="D17" i="46" s="1"/>
  <c r="C14" i="46"/>
  <c r="D14" i="46" s="1"/>
  <c r="A13" i="46"/>
  <c r="C12" i="46"/>
  <c r="D12" i="46" s="1"/>
  <c r="A12" i="46"/>
  <c r="C11" i="46"/>
  <c r="D11" i="46" s="1"/>
  <c r="A11" i="46"/>
  <c r="C7" i="46"/>
  <c r="D8" i="46" s="1"/>
  <c r="A2" i="46"/>
  <c r="E20" i="1"/>
  <c r="E18" i="1"/>
  <c r="E16" i="1"/>
  <c r="C16" i="1"/>
  <c r="E15" i="1"/>
  <c r="D92" i="121" s="1"/>
  <c r="C11" i="116"/>
  <c r="D11" i="116" s="1"/>
  <c r="E10" i="1"/>
  <c r="E11" i="4" s="1"/>
  <c r="F11" i="4"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6" i="114"/>
  <c r="K54" i="114"/>
  <c r="K52" i="114"/>
  <c r="K51" i="114"/>
  <c r="K48" i="114"/>
  <c r="K47" i="114"/>
  <c r="K46" i="114"/>
  <c r="K42" i="114"/>
  <c r="K41" i="114"/>
  <c r="K39" i="114"/>
  <c r="K34" i="114"/>
  <c r="K33" i="114"/>
  <c r="K32" i="114"/>
  <c r="K31" i="114"/>
  <c r="K29" i="114"/>
  <c r="K24" i="114"/>
  <c r="K23" i="114"/>
  <c r="K22" i="114"/>
  <c r="K21" i="114"/>
  <c r="K19" i="114"/>
  <c r="AU81" i="61"/>
  <c r="AX81" i="61" s="1"/>
  <c r="BA81" i="61" s="1"/>
  <c r="BD81" i="61" s="1"/>
  <c r="BG81" i="61" s="1"/>
  <c r="AR81" i="61"/>
  <c r="AU80" i="61"/>
  <c r="AX80" i="61" s="1"/>
  <c r="BA80" i="61" s="1"/>
  <c r="BD80" i="61" s="1"/>
  <c r="BG80" i="61" s="1"/>
  <c r="AT80" i="61"/>
  <c r="AW80" i="61" s="1"/>
  <c r="AZ80" i="61" s="1"/>
  <c r="BC80" i="61" s="1"/>
  <c r="BF80" i="61" s="1"/>
  <c r="BI80" i="61" s="1"/>
  <c r="AS80" i="61"/>
  <c r="AV80" i="61" s="1"/>
  <c r="AY80" i="61" s="1"/>
  <c r="BB80" i="61" s="1"/>
  <c r="BE80" i="61" s="1"/>
  <c r="BH80" i="61" s="1"/>
  <c r="AR80" i="61"/>
  <c r="AG76" i="61"/>
  <c r="AJ76" i="61" s="1"/>
  <c r="AW75" i="61"/>
  <c r="AZ75" i="61" s="1"/>
  <c r="BC75" i="61" s="1"/>
  <c r="BF75" i="61" s="1"/>
  <c r="BI75" i="61" s="1"/>
  <c r="AT75" i="61"/>
  <c r="AS75" i="61"/>
  <c r="AV75" i="61" s="1"/>
  <c r="AY75" i="61" s="1"/>
  <c r="BB75" i="61" s="1"/>
  <c r="BE75" i="61" s="1"/>
  <c r="BH75" i="61" s="1"/>
  <c r="AR75" i="61"/>
  <c r="AU75" i="61" s="1"/>
  <c r="AX75" i="61" s="1"/>
  <c r="BA75" i="61" s="1"/>
  <c r="BD75" i="61" s="1"/>
  <c r="BG75" i="61" s="1"/>
  <c r="AD75" i="61"/>
  <c r="AE75" i="61" s="1"/>
  <c r="AF75" i="61" s="1"/>
  <c r="AT73" i="61"/>
  <c r="AW73" i="61" s="1"/>
  <c r="AZ73" i="61" s="1"/>
  <c r="BC73" i="61" s="1"/>
  <c r="BF73" i="61" s="1"/>
  <c r="BI73" i="61" s="1"/>
  <c r="AS73" i="61"/>
  <c r="AV73" i="61" s="1"/>
  <c r="AY73" i="61" s="1"/>
  <c r="BB73" i="61" s="1"/>
  <c r="BE73" i="61" s="1"/>
  <c r="BH73" i="61" s="1"/>
  <c r="AR73" i="61"/>
  <c r="AU73" i="61" s="1"/>
  <c r="AX73" i="61" s="1"/>
  <c r="BA73" i="61" s="1"/>
  <c r="BD73" i="61" s="1"/>
  <c r="BG73" i="61" s="1"/>
  <c r="AH70" i="61"/>
  <c r="AK70" i="61" s="1"/>
  <c r="AL70" i="61" s="1"/>
  <c r="AG70" i="61"/>
  <c r="AJ70" i="61" s="1"/>
  <c r="AF70" i="61"/>
  <c r="AI68" i="61"/>
  <c r="AH68" i="61"/>
  <c r="AK68" i="61" s="1"/>
  <c r="AL68" i="61" s="1"/>
  <c r="AG68" i="61"/>
  <c r="AJ68" i="61" s="1"/>
  <c r="AF68" i="61"/>
  <c r="AT61" i="61"/>
  <c r="AW61" i="61" s="1"/>
  <c r="AZ61" i="61" s="1"/>
  <c r="BC61" i="61" s="1"/>
  <c r="BF61" i="61" s="1"/>
  <c r="BI61" i="61" s="1"/>
  <c r="AS61" i="61"/>
  <c r="AV61" i="61" s="1"/>
  <c r="AY61" i="61" s="1"/>
  <c r="BB61" i="61" s="1"/>
  <c r="BE61" i="61" s="1"/>
  <c r="BH61" i="61" s="1"/>
  <c r="AR61" i="61"/>
  <c r="AU61" i="61" s="1"/>
  <c r="AX61" i="61" s="1"/>
  <c r="BA61" i="61" s="1"/>
  <c r="BD61" i="61" s="1"/>
  <c r="BG61" i="61" s="1"/>
  <c r="AV60" i="61"/>
  <c r="AY60" i="61" s="1"/>
  <c r="BB60" i="61" s="1"/>
  <c r="BE60" i="61" s="1"/>
  <c r="BH60" i="61" s="1"/>
  <c r="AU60" i="61"/>
  <c r="AX60" i="61" s="1"/>
  <c r="BA60" i="61" s="1"/>
  <c r="BD60" i="61" s="1"/>
  <c r="BG60" i="61" s="1"/>
  <c r="AT60" i="61"/>
  <c r="AW60" i="61" s="1"/>
  <c r="AZ60" i="61" s="1"/>
  <c r="BC60" i="61" s="1"/>
  <c r="BF60" i="61" s="1"/>
  <c r="BI60" i="61" s="1"/>
  <c r="AS60" i="61"/>
  <c r="AR60" i="61"/>
  <c r="AV59" i="61"/>
  <c r="AY59" i="61" s="1"/>
  <c r="BB59" i="61" s="1"/>
  <c r="BE59" i="61" s="1"/>
  <c r="BH59" i="61" s="1"/>
  <c r="AT59" i="61"/>
  <c r="AW59" i="61" s="1"/>
  <c r="AZ59" i="61" s="1"/>
  <c r="BC59" i="61" s="1"/>
  <c r="BF59" i="61" s="1"/>
  <c r="BI59" i="61" s="1"/>
  <c r="AS59" i="61"/>
  <c r="AR59" i="61"/>
  <c r="AU59" i="61" s="1"/>
  <c r="AX59" i="61" s="1"/>
  <c r="BA59" i="61" s="1"/>
  <c r="BD59" i="61" s="1"/>
  <c r="BG59" i="61" s="1"/>
  <c r="AJ59" i="61"/>
  <c r="AW58" i="61"/>
  <c r="AZ58" i="61" s="1"/>
  <c r="BC58" i="61" s="1"/>
  <c r="BF58" i="61" s="1"/>
  <c r="BI58" i="61" s="1"/>
  <c r="AU58" i="61"/>
  <c r="AX58" i="61" s="1"/>
  <c r="BA58" i="61" s="1"/>
  <c r="BD58" i="61" s="1"/>
  <c r="BG58" i="61" s="1"/>
  <c r="AT58" i="61"/>
  <c r="AS58" i="61"/>
  <c r="AV58" i="61" s="1"/>
  <c r="AY58" i="61" s="1"/>
  <c r="BB58" i="61" s="1"/>
  <c r="BE58" i="61" s="1"/>
  <c r="BH58" i="61" s="1"/>
  <c r="AR58" i="61"/>
  <c r="AJ58" i="61"/>
  <c r="AH58" i="61"/>
  <c r="AI58" i="61" s="1"/>
  <c r="AV57" i="61"/>
  <c r="AY57" i="61" s="1"/>
  <c r="BB57" i="61" s="1"/>
  <c r="BE57" i="61" s="1"/>
  <c r="BH57" i="61" s="1"/>
  <c r="AT57" i="61"/>
  <c r="AW57" i="61" s="1"/>
  <c r="AZ57" i="61" s="1"/>
  <c r="BC57" i="61" s="1"/>
  <c r="BF57" i="61" s="1"/>
  <c r="BI57" i="61" s="1"/>
  <c r="AS57" i="61"/>
  <c r="AR57" i="61"/>
  <c r="AU57" i="61" s="1"/>
  <c r="AX57" i="61" s="1"/>
  <c r="BA57" i="61" s="1"/>
  <c r="BD57" i="61" s="1"/>
  <c r="BG57" i="61" s="1"/>
  <c r="AI57" i="61"/>
  <c r="AH57" i="61"/>
  <c r="AK57" i="61" s="1"/>
  <c r="AL57" i="61" s="1"/>
  <c r="AG57" i="61"/>
  <c r="AJ57" i="61" s="1"/>
  <c r="AF57" i="61"/>
  <c r="AW56" i="61"/>
  <c r="AZ56" i="61" s="1"/>
  <c r="BC56" i="61" s="1"/>
  <c r="BF56" i="61" s="1"/>
  <c r="BI56" i="61" s="1"/>
  <c r="AU56" i="61"/>
  <c r="AX56" i="61" s="1"/>
  <c r="BA56" i="61" s="1"/>
  <c r="BD56" i="61" s="1"/>
  <c r="BG56" i="61" s="1"/>
  <c r="AT56" i="61"/>
  <c r="AS56" i="61"/>
  <c r="AV56" i="61" s="1"/>
  <c r="AY56" i="61" s="1"/>
  <c r="BB56" i="61" s="1"/>
  <c r="BE56" i="61" s="1"/>
  <c r="BH56" i="61" s="1"/>
  <c r="AR56" i="61"/>
  <c r="AJ56" i="61"/>
  <c r="AH56" i="61"/>
  <c r="AI56" i="61" s="1"/>
  <c r="AG56" i="61"/>
  <c r="AF56" i="61"/>
  <c r="AX55" i="61"/>
  <c r="BA55" i="61" s="1"/>
  <c r="BD55" i="61" s="1"/>
  <c r="BG55" i="61" s="1"/>
  <c r="AV55" i="61"/>
  <c r="AY55" i="61" s="1"/>
  <c r="BB55" i="61" s="1"/>
  <c r="BE55" i="61" s="1"/>
  <c r="BH55" i="61" s="1"/>
  <c r="AU55" i="61"/>
  <c r="AT55" i="61"/>
  <c r="AW55" i="61" s="1"/>
  <c r="AZ55" i="61" s="1"/>
  <c r="BC55" i="61" s="1"/>
  <c r="BF55" i="61" s="1"/>
  <c r="BI55" i="61" s="1"/>
  <c r="AS55" i="61"/>
  <c r="AR55" i="61"/>
  <c r="AJ55" i="61"/>
  <c r="AW54" i="61"/>
  <c r="AZ54" i="61" s="1"/>
  <c r="BC54" i="61" s="1"/>
  <c r="BF54" i="61" s="1"/>
  <c r="BI54" i="61" s="1"/>
  <c r="AU54" i="61"/>
  <c r="AX54" i="61" s="1"/>
  <c r="BA54" i="61" s="1"/>
  <c r="BD54" i="61" s="1"/>
  <c r="BG54" i="61" s="1"/>
  <c r="AT54" i="61"/>
  <c r="AS54" i="61"/>
  <c r="AV54" i="61" s="1"/>
  <c r="AY54" i="61" s="1"/>
  <c r="BB54" i="61" s="1"/>
  <c r="BE54" i="61" s="1"/>
  <c r="BH54" i="61" s="1"/>
  <c r="AR54" i="61"/>
  <c r="AJ54" i="61"/>
  <c r="AH54" i="61"/>
  <c r="AI54" i="61" s="1"/>
  <c r="AG54" i="61"/>
  <c r="AF54" i="61"/>
  <c r="AX53" i="61"/>
  <c r="BA53" i="61" s="1"/>
  <c r="BD53" i="61" s="1"/>
  <c r="BG53" i="61" s="1"/>
  <c r="AV53" i="61"/>
  <c r="AY53" i="61" s="1"/>
  <c r="BB53" i="61" s="1"/>
  <c r="BE53" i="61" s="1"/>
  <c r="BH53" i="61" s="1"/>
  <c r="AU53" i="61"/>
  <c r="AT53" i="61"/>
  <c r="AW53" i="61" s="1"/>
  <c r="AZ53" i="61" s="1"/>
  <c r="BC53" i="61" s="1"/>
  <c r="BF53" i="61" s="1"/>
  <c r="BI53" i="61" s="1"/>
  <c r="AS53" i="61"/>
  <c r="AR53" i="61"/>
  <c r="AK53" i="61"/>
  <c r="AL53" i="61" s="1"/>
  <c r="AI53" i="61"/>
  <c r="AH53" i="61"/>
  <c r="AG53" i="61"/>
  <c r="AJ53" i="61" s="1"/>
  <c r="AF53" i="61"/>
  <c r="AY52" i="61"/>
  <c r="BB52" i="61" s="1"/>
  <c r="BE52" i="61" s="1"/>
  <c r="BH52" i="61" s="1"/>
  <c r="AW52" i="61"/>
  <c r="AZ52" i="61" s="1"/>
  <c r="BC52" i="61" s="1"/>
  <c r="BF52" i="61" s="1"/>
  <c r="BI52" i="61" s="1"/>
  <c r="AV52" i="61"/>
  <c r="AU52" i="61"/>
  <c r="AX52" i="61" s="1"/>
  <c r="BA52" i="61" s="1"/>
  <c r="BD52" i="61" s="1"/>
  <c r="BG52" i="61" s="1"/>
  <c r="AT52" i="61"/>
  <c r="AS52" i="61"/>
  <c r="AR52" i="61"/>
  <c r="AJ52" i="61"/>
  <c r="AH52" i="61"/>
  <c r="AK52" i="61" s="1"/>
  <c r="AL52" i="61" s="1"/>
  <c r="AG52" i="61"/>
  <c r="AF52" i="61"/>
  <c r="AZ51" i="61"/>
  <c r="BC51" i="61" s="1"/>
  <c r="BF51" i="61" s="1"/>
  <c r="BI51" i="61" s="1"/>
  <c r="AW51" i="61"/>
  <c r="AV51" i="61"/>
  <c r="AY51" i="61" s="1"/>
  <c r="BB51" i="61" s="1"/>
  <c r="BE51" i="61" s="1"/>
  <c r="BH51" i="61" s="1"/>
  <c r="AT51" i="61"/>
  <c r="AS51" i="61"/>
  <c r="AR51" i="61"/>
  <c r="AU51" i="61" s="1"/>
  <c r="AX51" i="61" s="1"/>
  <c r="BA51" i="61" s="1"/>
  <c r="BD51" i="61" s="1"/>
  <c r="BG51" i="61" s="1"/>
  <c r="AK51" i="61"/>
  <c r="AL51" i="61" s="1"/>
  <c r="AJ51" i="61"/>
  <c r="AH51" i="61"/>
  <c r="AI51" i="61" s="1"/>
  <c r="AG51" i="61"/>
  <c r="AF51" i="61"/>
  <c r="BA50" i="61"/>
  <c r="BD50" i="61" s="1"/>
  <c r="BG50" i="61" s="1"/>
  <c r="AX50" i="61"/>
  <c r="AW50" i="61"/>
  <c r="AZ50" i="61" s="1"/>
  <c r="BC50" i="61" s="1"/>
  <c r="BF50" i="61" s="1"/>
  <c r="BI50" i="61" s="1"/>
  <c r="AU50" i="61"/>
  <c r="AT50" i="61"/>
  <c r="AS50" i="61"/>
  <c r="AV50" i="61" s="1"/>
  <c r="AY50" i="61" s="1"/>
  <c r="BB50" i="61" s="1"/>
  <c r="BE50" i="61" s="1"/>
  <c r="BH50" i="61" s="1"/>
  <c r="AR50" i="61"/>
  <c r="AG50" i="61"/>
  <c r="AJ50" i="61" s="1"/>
  <c r="AF50" i="61"/>
  <c r="BB49" i="61"/>
  <c r="BE49" i="61" s="1"/>
  <c r="BH49" i="61" s="1"/>
  <c r="AY49" i="61"/>
  <c r="AV49" i="61"/>
  <c r="AT49" i="61"/>
  <c r="AW49" i="61" s="1"/>
  <c r="AZ49" i="61" s="1"/>
  <c r="BC49" i="61" s="1"/>
  <c r="BF49" i="61" s="1"/>
  <c r="BI49" i="61" s="1"/>
  <c r="AS49" i="61"/>
  <c r="AR49" i="61"/>
  <c r="AU49" i="61" s="1"/>
  <c r="AX49" i="61" s="1"/>
  <c r="BA49" i="61" s="1"/>
  <c r="BD49" i="61" s="1"/>
  <c r="BG49" i="61" s="1"/>
  <c r="AG49" i="61"/>
  <c r="AJ49" i="61" s="1"/>
  <c r="AF49" i="61"/>
  <c r="BC48" i="61"/>
  <c r="BF48" i="61" s="1"/>
  <c r="BI48" i="61" s="1"/>
  <c r="AZ48" i="61"/>
  <c r="AW48" i="61"/>
  <c r="AU48" i="61"/>
  <c r="AX48" i="61" s="1"/>
  <c r="BA48" i="61" s="1"/>
  <c r="BD48" i="61" s="1"/>
  <c r="BG48" i="61" s="1"/>
  <c r="AT48" i="61"/>
  <c r="AS48" i="61"/>
  <c r="AV48" i="61" s="1"/>
  <c r="AY48" i="61" s="1"/>
  <c r="BB48" i="61" s="1"/>
  <c r="BE48" i="61" s="1"/>
  <c r="BH48" i="61" s="1"/>
  <c r="AR48" i="61"/>
  <c r="AJ48" i="61"/>
  <c r="AH48" i="61"/>
  <c r="AK48" i="61" s="1"/>
  <c r="AG48" i="61"/>
  <c r="AF48" i="61"/>
  <c r="AV47" i="61"/>
  <c r="AY47" i="61" s="1"/>
  <c r="BB47" i="61" s="1"/>
  <c r="BE47" i="61" s="1"/>
  <c r="BH47" i="61" s="1"/>
  <c r="AT47" i="61"/>
  <c r="AW47" i="61" s="1"/>
  <c r="AZ47" i="61" s="1"/>
  <c r="BC47" i="61" s="1"/>
  <c r="BF47" i="61" s="1"/>
  <c r="BI47" i="61" s="1"/>
  <c r="AS47" i="61"/>
  <c r="AR47" i="61"/>
  <c r="AU47" i="61" s="1"/>
  <c r="AX47" i="61" s="1"/>
  <c r="BA47" i="61" s="1"/>
  <c r="BD47" i="61" s="1"/>
  <c r="BG47" i="61" s="1"/>
  <c r="AL47" i="61"/>
  <c r="AK47" i="61"/>
  <c r="AI47" i="61"/>
  <c r="AH47" i="61"/>
  <c r="AG47" i="61"/>
  <c r="AJ47" i="61" s="1"/>
  <c r="AF47" i="61"/>
  <c r="AW46" i="61"/>
  <c r="AZ46" i="61" s="1"/>
  <c r="BC46" i="61" s="1"/>
  <c r="BF46" i="61" s="1"/>
  <c r="BI46" i="61" s="1"/>
  <c r="AU46" i="61"/>
  <c r="AX46" i="61" s="1"/>
  <c r="BA46" i="61" s="1"/>
  <c r="BD46" i="61" s="1"/>
  <c r="BG46" i="61" s="1"/>
  <c r="AT46" i="61"/>
  <c r="AS46" i="61"/>
  <c r="AV46" i="61" s="1"/>
  <c r="AY46" i="61" s="1"/>
  <c r="BB46" i="61" s="1"/>
  <c r="BE46" i="61" s="1"/>
  <c r="BH46" i="61" s="1"/>
  <c r="AR46" i="61"/>
  <c r="AJ46" i="61"/>
  <c r="AH46" i="61"/>
  <c r="AI46" i="61" s="1"/>
  <c r="AG46" i="61"/>
  <c r="AF46" i="61"/>
  <c r="AV45" i="61"/>
  <c r="AY45" i="61" s="1"/>
  <c r="BB45" i="61" s="1"/>
  <c r="BE45" i="61" s="1"/>
  <c r="BH45" i="61" s="1"/>
  <c r="AT45" i="61"/>
  <c r="AW45" i="61" s="1"/>
  <c r="AZ45" i="61" s="1"/>
  <c r="BC45" i="61" s="1"/>
  <c r="BF45" i="61" s="1"/>
  <c r="BI45" i="61" s="1"/>
  <c r="AS45" i="61"/>
  <c r="AR45" i="61"/>
  <c r="AU45" i="61" s="1"/>
  <c r="AX45" i="61" s="1"/>
  <c r="BA45" i="61" s="1"/>
  <c r="BD45" i="61" s="1"/>
  <c r="BG45" i="61" s="1"/>
  <c r="AK45" i="61"/>
  <c r="AL45" i="61" s="1"/>
  <c r="AI45" i="61"/>
  <c r="AH45" i="61"/>
  <c r="AG45" i="61"/>
  <c r="AJ45" i="61" s="1"/>
  <c r="AF45" i="61"/>
  <c r="AW44" i="61"/>
  <c r="AZ44" i="61" s="1"/>
  <c r="BC44" i="61" s="1"/>
  <c r="BF44" i="61" s="1"/>
  <c r="BI44" i="61" s="1"/>
  <c r="AU44" i="61"/>
  <c r="AX44" i="61" s="1"/>
  <c r="BA44" i="61" s="1"/>
  <c r="BD44" i="61" s="1"/>
  <c r="BG44" i="61" s="1"/>
  <c r="AT44" i="61"/>
  <c r="AS44" i="61"/>
  <c r="AV44" i="61" s="1"/>
  <c r="AY44" i="61" s="1"/>
  <c r="BB44" i="61" s="1"/>
  <c r="BE44" i="61" s="1"/>
  <c r="BH44" i="61" s="1"/>
  <c r="AR44" i="61"/>
  <c r="AJ44" i="61"/>
  <c r="AH44" i="61"/>
  <c r="AK44" i="61" s="1"/>
  <c r="AL44" i="61" s="1"/>
  <c r="AG44" i="61"/>
  <c r="AF44" i="61"/>
  <c r="AV43" i="61"/>
  <c r="AY43" i="61" s="1"/>
  <c r="BB43" i="61" s="1"/>
  <c r="BE43" i="61" s="1"/>
  <c r="BH43" i="61" s="1"/>
  <c r="AT43" i="61"/>
  <c r="AW43" i="61" s="1"/>
  <c r="AZ43" i="61" s="1"/>
  <c r="BC43" i="61" s="1"/>
  <c r="BF43" i="61" s="1"/>
  <c r="BI43" i="61" s="1"/>
  <c r="AS43" i="61"/>
  <c r="AR43" i="61"/>
  <c r="AU43" i="61" s="1"/>
  <c r="AX43" i="61" s="1"/>
  <c r="BA43" i="61" s="1"/>
  <c r="BD43" i="61" s="1"/>
  <c r="BG43" i="61" s="1"/>
  <c r="AK43" i="61"/>
  <c r="AL43" i="61" s="1"/>
  <c r="AH43" i="61"/>
  <c r="AI43" i="61" s="1"/>
  <c r="AG43" i="61"/>
  <c r="AJ43" i="61" s="1"/>
  <c r="AF43" i="61"/>
  <c r="AY42" i="61"/>
  <c r="BB42" i="61" s="1"/>
  <c r="BE42" i="61" s="1"/>
  <c r="BH42" i="61" s="1"/>
  <c r="AW42" i="61"/>
  <c r="AZ42" i="61" s="1"/>
  <c r="BC42" i="61" s="1"/>
  <c r="BF42" i="61" s="1"/>
  <c r="BI42" i="61" s="1"/>
  <c r="AU42" i="61"/>
  <c r="AX42" i="61" s="1"/>
  <c r="BA42" i="61" s="1"/>
  <c r="BD42" i="61" s="1"/>
  <c r="BG42" i="61" s="1"/>
  <c r="AT42" i="61"/>
  <c r="AS42" i="61"/>
  <c r="AV42" i="61" s="1"/>
  <c r="AR42" i="61"/>
  <c r="AL42" i="61"/>
  <c r="AJ42" i="61"/>
  <c r="AI42" i="61"/>
  <c r="AH42" i="61"/>
  <c r="AK42" i="61" s="1"/>
  <c r="AG42" i="61"/>
  <c r="AF42" i="61"/>
  <c r="AZ41" i="61"/>
  <c r="BC41" i="61" s="1"/>
  <c r="BF41" i="61" s="1"/>
  <c r="BI41" i="61" s="1"/>
  <c r="AV41" i="61"/>
  <c r="AY41" i="61" s="1"/>
  <c r="BB41" i="61" s="1"/>
  <c r="BE41" i="61" s="1"/>
  <c r="BH41" i="61" s="1"/>
  <c r="AT41" i="61"/>
  <c r="AW41" i="61" s="1"/>
  <c r="AS41" i="61"/>
  <c r="AR41" i="61"/>
  <c r="AU41" i="61" s="1"/>
  <c r="AX41" i="61" s="1"/>
  <c r="BA41" i="61" s="1"/>
  <c r="BD41" i="61" s="1"/>
  <c r="BG41" i="61" s="1"/>
  <c r="AI41" i="61"/>
  <c r="AH41" i="61"/>
  <c r="AK41" i="61" s="1"/>
  <c r="AL41" i="61" s="1"/>
  <c r="AG41" i="61"/>
  <c r="AJ41" i="61" s="1"/>
  <c r="AF41" i="61"/>
  <c r="BI40" i="61"/>
  <c r="BC40" i="61"/>
  <c r="BF40" i="61" s="1"/>
  <c r="AU40" i="61"/>
  <c r="AX40" i="61" s="1"/>
  <c r="BA40" i="61" s="1"/>
  <c r="BD40" i="61" s="1"/>
  <c r="BG40" i="61" s="1"/>
  <c r="AT40" i="61"/>
  <c r="AW40" i="61" s="1"/>
  <c r="AZ40" i="61" s="1"/>
  <c r="AS40" i="61"/>
  <c r="AV40" i="61" s="1"/>
  <c r="AY40" i="61" s="1"/>
  <c r="BB40" i="61" s="1"/>
  <c r="BE40" i="61" s="1"/>
  <c r="BH40" i="61" s="1"/>
  <c r="AR40" i="61"/>
  <c r="AH40" i="61"/>
  <c r="AG40" i="61"/>
  <c r="AJ40" i="61" s="1"/>
  <c r="AF40" i="61"/>
  <c r="BD39" i="61"/>
  <c r="BG39" i="61" s="1"/>
  <c r="AV39" i="61"/>
  <c r="AY39" i="61" s="1"/>
  <c r="BB39" i="61" s="1"/>
  <c r="BE39" i="61" s="1"/>
  <c r="BH39" i="61" s="1"/>
  <c r="AU39" i="61"/>
  <c r="AX39" i="61" s="1"/>
  <c r="BA39" i="61" s="1"/>
  <c r="AT39" i="61"/>
  <c r="AW39" i="61" s="1"/>
  <c r="AZ39" i="61" s="1"/>
  <c r="BC39" i="61" s="1"/>
  <c r="BF39" i="61" s="1"/>
  <c r="BI39" i="61" s="1"/>
  <c r="AS39" i="61"/>
  <c r="AR39" i="61"/>
  <c r="AL39" i="61"/>
  <c r="AI39" i="61"/>
  <c r="AH39" i="61"/>
  <c r="AK39" i="61" s="1"/>
  <c r="AG39" i="61"/>
  <c r="AJ39" i="61" s="1"/>
  <c r="AF39" i="61"/>
  <c r="BE38" i="61"/>
  <c r="BH38" i="61" s="1"/>
  <c r="AW38" i="61"/>
  <c r="AZ38" i="61" s="1"/>
  <c r="BC38" i="61" s="1"/>
  <c r="BF38" i="61" s="1"/>
  <c r="BI38" i="61" s="1"/>
  <c r="AV38" i="61"/>
  <c r="AY38" i="61" s="1"/>
  <c r="BB38" i="61" s="1"/>
  <c r="AT38" i="61"/>
  <c r="AS38" i="61"/>
  <c r="AR38" i="61"/>
  <c r="AU38" i="61" s="1"/>
  <c r="AX38" i="61" s="1"/>
  <c r="BA38" i="61" s="1"/>
  <c r="BD38" i="61" s="1"/>
  <c r="BG38" i="61" s="1"/>
  <c r="AJ38" i="61"/>
  <c r="AH38" i="61"/>
  <c r="AG38" i="61"/>
  <c r="AF38" i="61"/>
  <c r="AW37" i="61"/>
  <c r="AZ37" i="61" s="1"/>
  <c r="BC37" i="61" s="1"/>
  <c r="BF37" i="61" s="1"/>
  <c r="BI37" i="61" s="1"/>
  <c r="AV37" i="61"/>
  <c r="AY37" i="61" s="1"/>
  <c r="BB37" i="61" s="1"/>
  <c r="BE37" i="61" s="1"/>
  <c r="BH37" i="61" s="1"/>
  <c r="AT37" i="61"/>
  <c r="AS37" i="61"/>
  <c r="AR37" i="61"/>
  <c r="AU37" i="61" s="1"/>
  <c r="AX37" i="61" s="1"/>
  <c r="BA37" i="61" s="1"/>
  <c r="BD37" i="61" s="1"/>
  <c r="BG37" i="61" s="1"/>
  <c r="AK37" i="61"/>
  <c r="AL37" i="61" s="1"/>
  <c r="AJ37" i="61"/>
  <c r="AI37" i="61"/>
  <c r="AH37" i="61"/>
  <c r="AG37" i="61"/>
  <c r="AF37" i="61"/>
  <c r="BG36" i="61"/>
  <c r="AY36" i="61"/>
  <c r="BB36" i="61" s="1"/>
  <c r="BE36" i="61" s="1"/>
  <c r="BH36" i="61" s="1"/>
  <c r="AT36" i="61"/>
  <c r="AW36" i="61" s="1"/>
  <c r="AZ36" i="61" s="1"/>
  <c r="BC36" i="61" s="1"/>
  <c r="BF36" i="61" s="1"/>
  <c r="BI36" i="61" s="1"/>
  <c r="AS36" i="61"/>
  <c r="AV36" i="61" s="1"/>
  <c r="AR36" i="61"/>
  <c r="AU36" i="61" s="1"/>
  <c r="AX36" i="61" s="1"/>
  <c r="BA36" i="61" s="1"/>
  <c r="BD36" i="61" s="1"/>
  <c r="AL36" i="61"/>
  <c r="AK36" i="61"/>
  <c r="AJ36" i="61"/>
  <c r="AH36" i="61"/>
  <c r="AI36" i="61" s="1"/>
  <c r="AG36" i="61"/>
  <c r="AF36" i="61"/>
  <c r="BH35" i="61"/>
  <c r="AU35" i="61"/>
  <c r="AX35" i="61" s="1"/>
  <c r="BA35" i="61" s="1"/>
  <c r="BD35" i="61" s="1"/>
  <c r="BG35" i="61" s="1"/>
  <c r="AT35" i="61"/>
  <c r="AW35" i="61" s="1"/>
  <c r="AZ35" i="61" s="1"/>
  <c r="BC35" i="61" s="1"/>
  <c r="BF35" i="61" s="1"/>
  <c r="BI35" i="61" s="1"/>
  <c r="AS35" i="61"/>
  <c r="AV35" i="61" s="1"/>
  <c r="AY35" i="61" s="1"/>
  <c r="BB35" i="61" s="1"/>
  <c r="BE35" i="61" s="1"/>
  <c r="AR35" i="61"/>
  <c r="AH35" i="61"/>
  <c r="AI35" i="61" s="1"/>
  <c r="AG35" i="61"/>
  <c r="AJ35" i="61" s="1"/>
  <c r="AF35" i="61"/>
  <c r="BI34" i="61"/>
  <c r="AT34" i="61"/>
  <c r="AW34" i="61" s="1"/>
  <c r="AZ34" i="61" s="1"/>
  <c r="BC34" i="61" s="1"/>
  <c r="BF34" i="61" s="1"/>
  <c r="AS34" i="61"/>
  <c r="AV34" i="61" s="1"/>
  <c r="AY34" i="61" s="1"/>
  <c r="BB34" i="61" s="1"/>
  <c r="BE34" i="61" s="1"/>
  <c r="BH34" i="61" s="1"/>
  <c r="AR34" i="61"/>
  <c r="AU34" i="61" s="1"/>
  <c r="AX34" i="61" s="1"/>
  <c r="BA34" i="61" s="1"/>
  <c r="BD34" i="61" s="1"/>
  <c r="BG34" i="61" s="1"/>
  <c r="AI34" i="61"/>
  <c r="AH34" i="61"/>
  <c r="AK34" i="61" s="1"/>
  <c r="AL34" i="61" s="1"/>
  <c r="AG34" i="61"/>
  <c r="AJ34" i="61" s="1"/>
  <c r="AF34" i="61"/>
  <c r="BB33" i="61"/>
  <c r="BE33" i="61" s="1"/>
  <c r="BH33" i="61" s="1"/>
  <c r="AT33" i="61"/>
  <c r="AW33" i="61" s="1"/>
  <c r="AZ33" i="61" s="1"/>
  <c r="BC33" i="61" s="1"/>
  <c r="BF33" i="61" s="1"/>
  <c r="BI33" i="61" s="1"/>
  <c r="AS33" i="61"/>
  <c r="AV33" i="61" s="1"/>
  <c r="AY33" i="61" s="1"/>
  <c r="AR33" i="61"/>
  <c r="AU33" i="61" s="1"/>
  <c r="AX33" i="61" s="1"/>
  <c r="BA33" i="61" s="1"/>
  <c r="BD33" i="61" s="1"/>
  <c r="BG33" i="61" s="1"/>
  <c r="AH33" i="61"/>
  <c r="AK33" i="61" s="1"/>
  <c r="AL33" i="61" s="1"/>
  <c r="AG33" i="61"/>
  <c r="AJ33" i="61" s="1"/>
  <c r="AF33" i="61"/>
  <c r="AU32" i="61"/>
  <c r="AX32" i="61" s="1"/>
  <c r="BA32" i="61" s="1"/>
  <c r="BD32" i="61" s="1"/>
  <c r="BG32" i="61" s="1"/>
  <c r="AT32" i="61"/>
  <c r="AW32" i="61" s="1"/>
  <c r="AZ32" i="61" s="1"/>
  <c r="BC32" i="61" s="1"/>
  <c r="BF32" i="61" s="1"/>
  <c r="BI32" i="61" s="1"/>
  <c r="AS32" i="61"/>
  <c r="AV32" i="61" s="1"/>
  <c r="AY32" i="61" s="1"/>
  <c r="BB32" i="61" s="1"/>
  <c r="BE32" i="61" s="1"/>
  <c r="BH32" i="61" s="1"/>
  <c r="AR32" i="61"/>
  <c r="AK32" i="61"/>
  <c r="AL32" i="61" s="1"/>
  <c r="AH32" i="61"/>
  <c r="AI32" i="61" s="1"/>
  <c r="AG32" i="61"/>
  <c r="AJ32" i="61" s="1"/>
  <c r="AF32" i="61"/>
  <c r="BD31" i="61"/>
  <c r="BG31" i="61" s="1"/>
  <c r="AV31" i="61"/>
  <c r="AY31" i="61" s="1"/>
  <c r="BB31" i="61" s="1"/>
  <c r="BE31" i="61" s="1"/>
  <c r="BH31" i="61" s="1"/>
  <c r="AU31" i="61"/>
  <c r="AX31" i="61" s="1"/>
  <c r="BA31" i="61" s="1"/>
  <c r="AT31" i="61"/>
  <c r="AW31" i="61" s="1"/>
  <c r="AZ31" i="61" s="1"/>
  <c r="BC31" i="61" s="1"/>
  <c r="BF31" i="61" s="1"/>
  <c r="BI31" i="61" s="1"/>
  <c r="AS31" i="61"/>
  <c r="AR31" i="61"/>
  <c r="AL31" i="61"/>
  <c r="AI31" i="61"/>
  <c r="AH31" i="61"/>
  <c r="AK31" i="61" s="1"/>
  <c r="AG31" i="61"/>
  <c r="AJ31" i="61" s="1"/>
  <c r="AF31" i="61"/>
  <c r="AY30" i="61"/>
  <c r="BB30" i="61" s="1"/>
  <c r="BE30" i="61" s="1"/>
  <c r="BH30" i="61" s="1"/>
  <c r="AW30" i="61"/>
  <c r="AZ30" i="61" s="1"/>
  <c r="BC30" i="61" s="1"/>
  <c r="BF30" i="61" s="1"/>
  <c r="BI30" i="61" s="1"/>
  <c r="AV30" i="61"/>
  <c r="AU30" i="61"/>
  <c r="AX30" i="61" s="1"/>
  <c r="BA30" i="61" s="1"/>
  <c r="BD30" i="61" s="1"/>
  <c r="BG30" i="61" s="1"/>
  <c r="AT30" i="61"/>
  <c r="AS30" i="61"/>
  <c r="AR30" i="61"/>
  <c r="AH30" i="61"/>
  <c r="AK30" i="61" s="1"/>
  <c r="AL30" i="61" s="1"/>
  <c r="AG30" i="61"/>
  <c r="AJ30" i="61" s="1"/>
  <c r="AF30" i="61"/>
  <c r="AV29" i="61"/>
  <c r="AY29" i="61" s="1"/>
  <c r="BB29" i="61" s="1"/>
  <c r="BE29" i="61" s="1"/>
  <c r="BH29" i="61" s="1"/>
  <c r="AU29" i="61"/>
  <c r="AX29" i="61" s="1"/>
  <c r="BA29" i="61" s="1"/>
  <c r="BD29" i="61" s="1"/>
  <c r="BG29" i="61" s="1"/>
  <c r="AT29" i="61"/>
  <c r="AW29" i="61" s="1"/>
  <c r="AZ29" i="61" s="1"/>
  <c r="BC29" i="61" s="1"/>
  <c r="BF29" i="61" s="1"/>
  <c r="BI29" i="61" s="1"/>
  <c r="AS29" i="61"/>
  <c r="AR29" i="61"/>
  <c r="AH29" i="61"/>
  <c r="AK29" i="61" s="1"/>
  <c r="AL29" i="61" s="1"/>
  <c r="AG29" i="61"/>
  <c r="AJ29" i="61" s="1"/>
  <c r="AF29" i="61"/>
  <c r="AW28" i="61"/>
  <c r="AZ28" i="61" s="1"/>
  <c r="BC28" i="61" s="1"/>
  <c r="BF28" i="61" s="1"/>
  <c r="BI28" i="61" s="1"/>
  <c r="AV28" i="61"/>
  <c r="AY28" i="61" s="1"/>
  <c r="BB28" i="61" s="1"/>
  <c r="BE28" i="61" s="1"/>
  <c r="BH28" i="61" s="1"/>
  <c r="AU28" i="61"/>
  <c r="AX28" i="61" s="1"/>
  <c r="BA28" i="61" s="1"/>
  <c r="BD28" i="61" s="1"/>
  <c r="BG28" i="61" s="1"/>
  <c r="AT28" i="61"/>
  <c r="AS28" i="61"/>
  <c r="AR28" i="61"/>
  <c r="AJ28" i="61"/>
  <c r="AI28" i="61"/>
  <c r="AH28" i="61"/>
  <c r="AK28" i="61" s="1"/>
  <c r="AL28" i="61" s="1"/>
  <c r="AG28" i="61"/>
  <c r="AF28" i="61"/>
  <c r="AW27" i="61"/>
  <c r="AZ27" i="61" s="1"/>
  <c r="BC27" i="61" s="1"/>
  <c r="BF27" i="61" s="1"/>
  <c r="BI27" i="61" s="1"/>
  <c r="AV27" i="61"/>
  <c r="AY27" i="61" s="1"/>
  <c r="BB27" i="61" s="1"/>
  <c r="BE27" i="61" s="1"/>
  <c r="BH27" i="61" s="1"/>
  <c r="AT27" i="61"/>
  <c r="AS27" i="61"/>
  <c r="AR27" i="61"/>
  <c r="AU27" i="61" s="1"/>
  <c r="AX27" i="61" s="1"/>
  <c r="BA27" i="61" s="1"/>
  <c r="BD27" i="61" s="1"/>
  <c r="BG27" i="61" s="1"/>
  <c r="AK27" i="61"/>
  <c r="AL27" i="61" s="1"/>
  <c r="AJ27" i="61"/>
  <c r="AI27" i="61"/>
  <c r="AH27" i="61"/>
  <c r="AG27" i="61"/>
  <c r="AF27" i="61"/>
  <c r="AX26" i="61"/>
  <c r="BA26" i="61" s="1"/>
  <c r="BD26" i="61" s="1"/>
  <c r="BG26" i="61" s="1"/>
  <c r="AW26" i="61"/>
  <c r="AZ26" i="61" s="1"/>
  <c r="BC26" i="61" s="1"/>
  <c r="BF26" i="61" s="1"/>
  <c r="BI26" i="61" s="1"/>
  <c r="AU26" i="61"/>
  <c r="AT26" i="61"/>
  <c r="AS26" i="61"/>
  <c r="AV26" i="61" s="1"/>
  <c r="AY26" i="61" s="1"/>
  <c r="BB26" i="61" s="1"/>
  <c r="BE26" i="61" s="1"/>
  <c r="BH26" i="61" s="1"/>
  <c r="AR26" i="61"/>
  <c r="AK26" i="61"/>
  <c r="AL26" i="61" s="1"/>
  <c r="AJ26" i="61"/>
  <c r="AH26" i="61"/>
  <c r="AI26" i="61" s="1"/>
  <c r="AG26" i="61"/>
  <c r="AF26" i="61"/>
  <c r="AY25" i="61"/>
  <c r="BB25" i="61" s="1"/>
  <c r="BE25" i="61" s="1"/>
  <c r="BH25" i="61" s="1"/>
  <c r="AV25" i="61"/>
  <c r="AT25" i="61"/>
  <c r="AW25" i="61" s="1"/>
  <c r="AZ25" i="61" s="1"/>
  <c r="BC25" i="61" s="1"/>
  <c r="BF25" i="61" s="1"/>
  <c r="BI25" i="61" s="1"/>
  <c r="AS25" i="61"/>
  <c r="AR25" i="61"/>
  <c r="AU25" i="61" s="1"/>
  <c r="AX25" i="61" s="1"/>
  <c r="BA25" i="61" s="1"/>
  <c r="BD25" i="61" s="1"/>
  <c r="BG25" i="61" s="1"/>
  <c r="AL25" i="61"/>
  <c r="AK25" i="61"/>
  <c r="AI25" i="61"/>
  <c r="AH25" i="61"/>
  <c r="AG25" i="61"/>
  <c r="AJ25" i="61" s="1"/>
  <c r="AF25" i="61"/>
  <c r="AZ24" i="61"/>
  <c r="BC24" i="61" s="1"/>
  <c r="BF24" i="61" s="1"/>
  <c r="BI24" i="61" s="1"/>
  <c r="AW24" i="61"/>
  <c r="AT24" i="61"/>
  <c r="AS24" i="61"/>
  <c r="AV24" i="61" s="1"/>
  <c r="AY24" i="61" s="1"/>
  <c r="BB24" i="61" s="1"/>
  <c r="BE24" i="61" s="1"/>
  <c r="BH24" i="61" s="1"/>
  <c r="AR24" i="61"/>
  <c r="AU24" i="61" s="1"/>
  <c r="AX24" i="61" s="1"/>
  <c r="BA24" i="61" s="1"/>
  <c r="BD24" i="61" s="1"/>
  <c r="BG24" i="61" s="1"/>
  <c r="AJ24" i="61"/>
  <c r="AH24" i="61"/>
  <c r="AK24" i="61" s="1"/>
  <c r="AL24" i="61" s="1"/>
  <c r="AG24" i="61"/>
  <c r="AF24" i="61"/>
  <c r="AT23" i="61"/>
  <c r="AW23" i="61" s="1"/>
  <c r="AZ23" i="61" s="1"/>
  <c r="BC23" i="61" s="1"/>
  <c r="BF23" i="61" s="1"/>
  <c r="BI23" i="61" s="1"/>
  <c r="AS23" i="61"/>
  <c r="AV23" i="61" s="1"/>
  <c r="AY23" i="61" s="1"/>
  <c r="BB23" i="61" s="1"/>
  <c r="BE23" i="61" s="1"/>
  <c r="BH23" i="61" s="1"/>
  <c r="AR23" i="61"/>
  <c r="AU23" i="61" s="1"/>
  <c r="AX23" i="61" s="1"/>
  <c r="BA23" i="61" s="1"/>
  <c r="BD23" i="61" s="1"/>
  <c r="BG23" i="61" s="1"/>
  <c r="AK23" i="61"/>
  <c r="AL23" i="61" s="1"/>
  <c r="AI23" i="61"/>
  <c r="AH23" i="61"/>
  <c r="AG23" i="61"/>
  <c r="AJ23" i="61" s="1"/>
  <c r="AF23" i="61"/>
  <c r="AU22" i="61"/>
  <c r="AX22" i="61" s="1"/>
  <c r="BA22" i="61" s="1"/>
  <c r="BD22" i="61" s="1"/>
  <c r="BG22" i="61" s="1"/>
  <c r="AT22" i="61"/>
  <c r="AW22" i="61" s="1"/>
  <c r="AZ22" i="61" s="1"/>
  <c r="BC22" i="61" s="1"/>
  <c r="BF22" i="61" s="1"/>
  <c r="BI22" i="61" s="1"/>
  <c r="AS22" i="61"/>
  <c r="AV22" i="61" s="1"/>
  <c r="AY22" i="61" s="1"/>
  <c r="BB22" i="61" s="1"/>
  <c r="BE22" i="61" s="1"/>
  <c r="BH22" i="61" s="1"/>
  <c r="AR22" i="61"/>
  <c r="AH22" i="61"/>
  <c r="AK22" i="61" s="1"/>
  <c r="AL22" i="61" s="1"/>
  <c r="AG22" i="61"/>
  <c r="AJ22" i="61" s="1"/>
  <c r="AF22" i="61"/>
  <c r="AV21" i="61"/>
  <c r="AY21" i="61" s="1"/>
  <c r="BB21" i="61" s="1"/>
  <c r="BE21" i="61" s="1"/>
  <c r="BH21" i="61" s="1"/>
  <c r="AU21" i="61"/>
  <c r="AX21" i="61" s="1"/>
  <c r="BA21" i="61" s="1"/>
  <c r="BD21" i="61" s="1"/>
  <c r="BG21" i="61" s="1"/>
  <c r="AT21" i="61"/>
  <c r="AW21" i="61" s="1"/>
  <c r="AZ21" i="61" s="1"/>
  <c r="BC21" i="61" s="1"/>
  <c r="BF21" i="61" s="1"/>
  <c r="BI21" i="61" s="1"/>
  <c r="AS21" i="61"/>
  <c r="AR21" i="61"/>
  <c r="AH21" i="61"/>
  <c r="AK21" i="61" s="1"/>
  <c r="AL21" i="61" s="1"/>
  <c r="AG21" i="61"/>
  <c r="AJ21" i="61" s="1"/>
  <c r="AF21" i="61"/>
  <c r="AW20" i="61"/>
  <c r="AZ20" i="61" s="1"/>
  <c r="BC20" i="61" s="1"/>
  <c r="BF20" i="61" s="1"/>
  <c r="BI20" i="61" s="1"/>
  <c r="AV20" i="61"/>
  <c r="AY20" i="61" s="1"/>
  <c r="BB20" i="61" s="1"/>
  <c r="BE20" i="61" s="1"/>
  <c r="BH20" i="61" s="1"/>
  <c r="AU20" i="61"/>
  <c r="AX20" i="61" s="1"/>
  <c r="BA20" i="61" s="1"/>
  <c r="BD20" i="61" s="1"/>
  <c r="BG20" i="61" s="1"/>
  <c r="AT20" i="61"/>
  <c r="AS20" i="61"/>
  <c r="AR20" i="61"/>
  <c r="AJ20" i="61"/>
  <c r="AI20" i="61"/>
  <c r="AH20" i="61"/>
  <c r="AK20" i="61" s="1"/>
  <c r="AL20" i="61" s="1"/>
  <c r="AG20" i="61"/>
  <c r="AF20" i="61"/>
  <c r="AW19" i="61"/>
  <c r="AZ19" i="61" s="1"/>
  <c r="BC19" i="61" s="1"/>
  <c r="BF19" i="61" s="1"/>
  <c r="BI19" i="61" s="1"/>
  <c r="AV19" i="61"/>
  <c r="AY19" i="61" s="1"/>
  <c r="BB19" i="61" s="1"/>
  <c r="BE19" i="61" s="1"/>
  <c r="BH19" i="61" s="1"/>
  <c r="AT19" i="61"/>
  <c r="AS19" i="61"/>
  <c r="AR19" i="61"/>
  <c r="AU19" i="61" s="1"/>
  <c r="AX19" i="61" s="1"/>
  <c r="BA19" i="61" s="1"/>
  <c r="BD19" i="61" s="1"/>
  <c r="BG19" i="61" s="1"/>
  <c r="AK19" i="61"/>
  <c r="AL19" i="61" s="1"/>
  <c r="AJ19" i="61"/>
  <c r="AI19" i="61"/>
  <c r="AH19" i="61"/>
  <c r="AG19" i="61"/>
  <c r="AF19" i="61"/>
  <c r="AX18" i="61"/>
  <c r="BA18" i="61" s="1"/>
  <c r="BD18" i="61" s="1"/>
  <c r="BG18" i="61" s="1"/>
  <c r="AW18" i="61"/>
  <c r="AZ18" i="61" s="1"/>
  <c r="BC18" i="61" s="1"/>
  <c r="BF18" i="61" s="1"/>
  <c r="BI18" i="61" s="1"/>
  <c r="AU18" i="61"/>
  <c r="AT18" i="61"/>
  <c r="AS18" i="61"/>
  <c r="AV18" i="61" s="1"/>
  <c r="AY18" i="61" s="1"/>
  <c r="BB18" i="61" s="1"/>
  <c r="BE18" i="61" s="1"/>
  <c r="BH18" i="61" s="1"/>
  <c r="AR18" i="61"/>
  <c r="AK18" i="61"/>
  <c r="AL18" i="61" s="1"/>
  <c r="AJ18" i="61"/>
  <c r="AH18" i="61"/>
  <c r="AI18" i="61" s="1"/>
  <c r="AG18" i="61"/>
  <c r="AF18" i="61"/>
  <c r="AY17" i="61"/>
  <c r="BB17" i="61" s="1"/>
  <c r="BE17" i="61" s="1"/>
  <c r="BH17" i="61" s="1"/>
  <c r="AV17" i="61"/>
  <c r="AT17" i="61"/>
  <c r="AW17" i="61" s="1"/>
  <c r="AZ17" i="61" s="1"/>
  <c r="BC17" i="61" s="1"/>
  <c r="BF17" i="61" s="1"/>
  <c r="BI17" i="61" s="1"/>
  <c r="AS17" i="61"/>
  <c r="AR17" i="61"/>
  <c r="AU17" i="61" s="1"/>
  <c r="AX17" i="61" s="1"/>
  <c r="BA17" i="61" s="1"/>
  <c r="BD17" i="61" s="1"/>
  <c r="BG17" i="61" s="1"/>
  <c r="AL17" i="61"/>
  <c r="AK17" i="61"/>
  <c r="AI17" i="61"/>
  <c r="AH17" i="61"/>
  <c r="AG17" i="61"/>
  <c r="AJ17" i="61" s="1"/>
  <c r="AF17" i="61"/>
  <c r="AZ16" i="61"/>
  <c r="BC16" i="61" s="1"/>
  <c r="BF16" i="61" s="1"/>
  <c r="BI16" i="61" s="1"/>
  <c r="AW16" i="61"/>
  <c r="AT16" i="61"/>
  <c r="AS16" i="61"/>
  <c r="AV16" i="61" s="1"/>
  <c r="AY16" i="61" s="1"/>
  <c r="BB16" i="61" s="1"/>
  <c r="BE16" i="61" s="1"/>
  <c r="BH16" i="61" s="1"/>
  <c r="AR16" i="61"/>
  <c r="AU16" i="61" s="1"/>
  <c r="AX16" i="61" s="1"/>
  <c r="BA16" i="61" s="1"/>
  <c r="BD16" i="61" s="1"/>
  <c r="BG16" i="61" s="1"/>
  <c r="AJ16" i="61"/>
  <c r="AH16" i="61"/>
  <c r="AK16" i="61" s="1"/>
  <c r="AL16" i="61" s="1"/>
  <c r="AG16" i="61"/>
  <c r="AF16" i="61"/>
  <c r="AT15" i="61"/>
  <c r="AW15" i="61" s="1"/>
  <c r="AZ15" i="61" s="1"/>
  <c r="BC15" i="61" s="1"/>
  <c r="BF15" i="61" s="1"/>
  <c r="BI15" i="61" s="1"/>
  <c r="AS15" i="61"/>
  <c r="AV15" i="61" s="1"/>
  <c r="AY15" i="61" s="1"/>
  <c r="BB15" i="61" s="1"/>
  <c r="BE15" i="61" s="1"/>
  <c r="BH15" i="61" s="1"/>
  <c r="AR15" i="61"/>
  <c r="AU15" i="61" s="1"/>
  <c r="AX15" i="61" s="1"/>
  <c r="BA15" i="61" s="1"/>
  <c r="BD15" i="61" s="1"/>
  <c r="BG15" i="61" s="1"/>
  <c r="AK15" i="61"/>
  <c r="AL15" i="61" s="1"/>
  <c r="AI15" i="61"/>
  <c r="AH15" i="61"/>
  <c r="AG15" i="61"/>
  <c r="AJ15" i="61" s="1"/>
  <c r="AF15" i="61"/>
  <c r="AU14" i="61"/>
  <c r="AX14" i="61" s="1"/>
  <c r="BA14" i="61" s="1"/>
  <c r="BD14" i="61" s="1"/>
  <c r="BG14" i="61" s="1"/>
  <c r="AT14" i="61"/>
  <c r="AW14" i="61" s="1"/>
  <c r="AZ14" i="61" s="1"/>
  <c r="BC14" i="61" s="1"/>
  <c r="BF14" i="61" s="1"/>
  <c r="BI14" i="61" s="1"/>
  <c r="AS14" i="61"/>
  <c r="AV14" i="61" s="1"/>
  <c r="AY14" i="61" s="1"/>
  <c r="BB14" i="61" s="1"/>
  <c r="BE14" i="61" s="1"/>
  <c r="BH14" i="61" s="1"/>
  <c r="AR14" i="61"/>
  <c r="AH14" i="61"/>
  <c r="AK14" i="61" s="1"/>
  <c r="AL14" i="61" s="1"/>
  <c r="AG14" i="61"/>
  <c r="AJ14" i="61" s="1"/>
  <c r="AF14" i="61"/>
  <c r="AV13" i="61"/>
  <c r="AY13" i="61" s="1"/>
  <c r="BB13" i="61" s="1"/>
  <c r="BE13" i="61" s="1"/>
  <c r="BH13" i="61" s="1"/>
  <c r="AU13" i="61"/>
  <c r="AX13" i="61" s="1"/>
  <c r="BA13" i="61" s="1"/>
  <c r="BD13" i="61" s="1"/>
  <c r="BG13" i="61" s="1"/>
  <c r="AT13" i="61"/>
  <c r="AW13" i="61" s="1"/>
  <c r="AZ13" i="61" s="1"/>
  <c r="BC13" i="61" s="1"/>
  <c r="BF13" i="61" s="1"/>
  <c r="BI13" i="61" s="1"/>
  <c r="AS13" i="61"/>
  <c r="AR13" i="61"/>
  <c r="AH13" i="61"/>
  <c r="AK13" i="61" s="1"/>
  <c r="AL13" i="61" s="1"/>
  <c r="AG13" i="61"/>
  <c r="AJ13" i="61" s="1"/>
  <c r="AF13" i="61"/>
  <c r="AW12" i="61"/>
  <c r="AZ12" i="61" s="1"/>
  <c r="BC12" i="61" s="1"/>
  <c r="BF12" i="61" s="1"/>
  <c r="BI12" i="61" s="1"/>
  <c r="AV12" i="61"/>
  <c r="AY12" i="61" s="1"/>
  <c r="BB12" i="61" s="1"/>
  <c r="BE12" i="61" s="1"/>
  <c r="BH12" i="61" s="1"/>
  <c r="AU12" i="61"/>
  <c r="AX12" i="61" s="1"/>
  <c r="BA12" i="61" s="1"/>
  <c r="BD12" i="61" s="1"/>
  <c r="BG12" i="61" s="1"/>
  <c r="AT12" i="61"/>
  <c r="AS12" i="61"/>
  <c r="AR12" i="61"/>
  <c r="AJ12" i="61"/>
  <c r="AI12" i="61"/>
  <c r="AH12" i="61"/>
  <c r="AK12" i="61" s="1"/>
  <c r="AL12" i="61" s="1"/>
  <c r="AG12" i="61"/>
  <c r="AF12" i="61"/>
  <c r="AW11" i="61"/>
  <c r="AZ11" i="61" s="1"/>
  <c r="BC11" i="61" s="1"/>
  <c r="BF11" i="61" s="1"/>
  <c r="BI11" i="61" s="1"/>
  <c r="AV11" i="61"/>
  <c r="AY11" i="61" s="1"/>
  <c r="BB11" i="61" s="1"/>
  <c r="BE11" i="61" s="1"/>
  <c r="BH11" i="61" s="1"/>
  <c r="AT11" i="61"/>
  <c r="AS11" i="61"/>
  <c r="AR11" i="61"/>
  <c r="AU11" i="61" s="1"/>
  <c r="AX11" i="61" s="1"/>
  <c r="BA11" i="61" s="1"/>
  <c r="BD11" i="61" s="1"/>
  <c r="BG11" i="61" s="1"/>
  <c r="AK11" i="61"/>
  <c r="AL11" i="61" s="1"/>
  <c r="AJ11" i="61"/>
  <c r="AI11" i="61"/>
  <c r="AH11" i="61"/>
  <c r="AG11" i="61"/>
  <c r="AF11" i="61"/>
  <c r="AX10" i="61"/>
  <c r="BA10" i="61" s="1"/>
  <c r="BD10" i="61" s="1"/>
  <c r="BG10" i="61" s="1"/>
  <c r="AW10" i="61"/>
  <c r="AZ10" i="61" s="1"/>
  <c r="BC10" i="61" s="1"/>
  <c r="BF10" i="61" s="1"/>
  <c r="BI10" i="61" s="1"/>
  <c r="AU10" i="61"/>
  <c r="AT10" i="61"/>
  <c r="AS10" i="61"/>
  <c r="AV10" i="61" s="1"/>
  <c r="AY10" i="61" s="1"/>
  <c r="BB10" i="61" s="1"/>
  <c r="BE10" i="61" s="1"/>
  <c r="BH10" i="61" s="1"/>
  <c r="AR10" i="61"/>
  <c r="AK10" i="61"/>
  <c r="AL10" i="61" s="1"/>
  <c r="AJ10" i="61"/>
  <c r="AH10" i="61"/>
  <c r="AI10" i="61" s="1"/>
  <c r="AG10" i="61"/>
  <c r="AF10" i="61"/>
  <c r="AY9" i="61"/>
  <c r="BB9" i="61" s="1"/>
  <c r="BE9" i="61" s="1"/>
  <c r="BH9" i="61" s="1"/>
  <c r="AV9" i="61"/>
  <c r="AT9" i="61"/>
  <c r="AW9" i="61" s="1"/>
  <c r="AZ9" i="61" s="1"/>
  <c r="BC9" i="61" s="1"/>
  <c r="BF9" i="61" s="1"/>
  <c r="BI9" i="61" s="1"/>
  <c r="AS9" i="61"/>
  <c r="AR9" i="61"/>
  <c r="AU9" i="61" s="1"/>
  <c r="AX9" i="61" s="1"/>
  <c r="BA9" i="61" s="1"/>
  <c r="BD9" i="61" s="1"/>
  <c r="BG9" i="61" s="1"/>
  <c r="AE9" i="61"/>
  <c r="AH9" i="61" s="1"/>
  <c r="AD9" i="61"/>
  <c r="AG9" i="61" s="1"/>
  <c r="AJ9" i="61" s="1"/>
  <c r="AU8" i="61"/>
  <c r="AX8" i="61" s="1"/>
  <c r="BA8" i="61" s="1"/>
  <c r="BD8" i="61" s="1"/>
  <c r="BG8" i="61" s="1"/>
  <c r="AT8" i="61"/>
  <c r="AW8" i="61" s="1"/>
  <c r="AZ8" i="61" s="1"/>
  <c r="BC8" i="61" s="1"/>
  <c r="BF8" i="61" s="1"/>
  <c r="BI8" i="61" s="1"/>
  <c r="AS8" i="61"/>
  <c r="AV8" i="61" s="1"/>
  <c r="AY8" i="61" s="1"/>
  <c r="BB8" i="61" s="1"/>
  <c r="BE8" i="61" s="1"/>
  <c r="BH8" i="61" s="1"/>
  <c r="AR8" i="61"/>
  <c r="AH8" i="61"/>
  <c r="AK8" i="61" s="1"/>
  <c r="AL8" i="61" s="1"/>
  <c r="AG8" i="61"/>
  <c r="AJ8" i="61" s="1"/>
  <c r="AF8" i="61"/>
  <c r="AV7" i="61"/>
  <c r="AY7" i="61" s="1"/>
  <c r="BB7" i="61" s="1"/>
  <c r="BE7" i="61" s="1"/>
  <c r="BH7" i="61" s="1"/>
  <c r="AU7" i="61"/>
  <c r="AX7" i="61" s="1"/>
  <c r="BA7" i="61" s="1"/>
  <c r="BD7" i="61" s="1"/>
  <c r="BG7" i="61" s="1"/>
  <c r="AT7" i="61"/>
  <c r="AW7" i="61" s="1"/>
  <c r="AZ7" i="61" s="1"/>
  <c r="BC7" i="61" s="1"/>
  <c r="BF7" i="61" s="1"/>
  <c r="BI7" i="61" s="1"/>
  <c r="AS7" i="61"/>
  <c r="AR7" i="61"/>
  <c r="AH7" i="61"/>
  <c r="AK7" i="61" s="1"/>
  <c r="AL7" i="61" s="1"/>
  <c r="AG7" i="61"/>
  <c r="AJ7" i="61" s="1"/>
  <c r="AF7" i="61"/>
  <c r="C13" i="95"/>
  <c r="D13" i="95" s="1"/>
  <c r="C13" i="46"/>
  <c r="D13" i="46" s="1"/>
  <c r="G30" i="106"/>
  <c r="G31" i="106" s="1"/>
  <c r="G29" i="106"/>
  <c r="G28" i="106"/>
  <c r="F28" i="106"/>
  <c r="F29" i="106" s="1"/>
  <c r="F30" i="106" s="1"/>
  <c r="F31" i="106" s="1"/>
  <c r="E28" i="106"/>
  <c r="E29" i="106" s="1"/>
  <c r="E30" i="106" s="1"/>
  <c r="E31" i="106" s="1"/>
  <c r="C28" i="106"/>
  <c r="C29" i="106" s="1"/>
  <c r="I23" i="106"/>
  <c r="H23" i="106"/>
  <c r="F22" i="106"/>
  <c r="H22" i="106"/>
  <c r="I22" i="106" s="1"/>
  <c r="H21" i="106"/>
  <c r="I21" i="106" s="1"/>
  <c r="G21" i="106"/>
  <c r="G22" i="106" s="1"/>
  <c r="F21" i="106"/>
  <c r="E21" i="106"/>
  <c r="E22" i="106" s="1"/>
  <c r="K55" i="114" s="1"/>
  <c r="I19" i="106"/>
  <c r="B17" i="106"/>
  <c r="B43" i="106" s="1"/>
  <c r="AK9" i="61" l="1"/>
  <c r="AL9" i="61" s="1"/>
  <c r="AI9" i="61"/>
  <c r="AI7" i="61"/>
  <c r="AI13" i="61"/>
  <c r="AI21" i="61"/>
  <c r="AI29" i="61"/>
  <c r="AG75" i="61"/>
  <c r="AH75" i="61" s="1"/>
  <c r="AI75" i="61" s="1"/>
  <c r="AK40" i="61"/>
  <c r="AI40" i="61"/>
  <c r="AI8" i="61"/>
  <c r="AF9" i="61"/>
  <c r="AI14" i="61"/>
  <c r="AI22" i="61"/>
  <c r="AI30" i="61"/>
  <c r="AK58" i="61"/>
  <c r="AI16" i="61"/>
  <c r="AI24" i="61"/>
  <c r="AK35" i="61"/>
  <c r="AL35" i="61" s="1"/>
  <c r="AI38" i="61"/>
  <c r="AK38" i="61"/>
  <c r="AL38" i="61" s="1"/>
  <c r="AK50" i="61"/>
  <c r="AL50" i="61" s="1"/>
  <c r="AK49" i="61"/>
  <c r="AL49" i="61" s="1"/>
  <c r="AL48" i="61"/>
  <c r="AK46" i="61"/>
  <c r="AL46" i="61" s="1"/>
  <c r="AI48" i="61"/>
  <c r="AH49" i="61"/>
  <c r="AI49" i="61" s="1"/>
  <c r="AK54" i="61"/>
  <c r="AK56" i="61"/>
  <c r="AL56" i="61" s="1"/>
  <c r="AI33" i="61"/>
  <c r="AH50" i="61"/>
  <c r="AI50" i="61" s="1"/>
  <c r="AI70" i="61"/>
  <c r="E16" i="70"/>
  <c r="F16" i="70" s="1"/>
  <c r="E15" i="95"/>
  <c r="F15" i="95" s="1"/>
  <c r="AI44" i="61"/>
  <c r="AI52" i="61"/>
  <c r="AH55" i="61"/>
  <c r="AI55" i="61" s="1"/>
  <c r="AH59" i="61"/>
  <c r="AI59" i="61" s="1"/>
  <c r="D93" i="121"/>
  <c r="D40" i="121"/>
  <c r="D13" i="121"/>
  <c r="K58" i="114"/>
  <c r="K61" i="114" s="1"/>
  <c r="K66" i="114" s="1"/>
  <c r="G8" i="95"/>
  <c r="G10" i="95" s="1"/>
  <c r="N10" i="95"/>
  <c r="K57" i="114"/>
  <c r="C17" i="95"/>
  <c r="E17" i="95" s="1"/>
  <c r="K84" i="114" s="1"/>
  <c r="D11" i="121"/>
  <c r="F8" i="4"/>
  <c r="K77" i="114" s="1"/>
  <c r="P10" i="95"/>
  <c r="D10" i="4"/>
  <c r="D15" i="4" s="1"/>
  <c r="C15" i="4"/>
  <c r="C7" i="121"/>
  <c r="C31" i="121" s="1"/>
  <c r="C54" i="121" s="1"/>
  <c r="C8" i="121"/>
  <c r="C32" i="121" s="1"/>
  <c r="C55" i="121" s="1"/>
  <c r="C9" i="121"/>
  <c r="C33" i="121" s="1"/>
  <c r="C56" i="121" s="1"/>
  <c r="K85" i="114"/>
  <c r="K80" i="114"/>
  <c r="K28" i="114"/>
  <c r="G23" i="95"/>
  <c r="B12" i="70"/>
  <c r="C12" i="70" s="1"/>
  <c r="D12" i="70" s="1"/>
  <c r="J12" i="70" s="1"/>
  <c r="D16" i="1"/>
  <c r="E16" i="116" s="1"/>
  <c r="F16" i="116" s="1"/>
  <c r="C16" i="116"/>
  <c r="D16" i="116" s="1"/>
  <c r="K76" i="114"/>
  <c r="H12" i="4"/>
  <c r="H13" i="4" s="1"/>
  <c r="H31" i="106"/>
  <c r="C30" i="106"/>
  <c r="K38" i="114"/>
  <c r="D10" i="46"/>
  <c r="C8" i="116"/>
  <c r="D8" i="116" s="1"/>
  <c r="D8" i="1"/>
  <c r="E8" i="1" s="1"/>
  <c r="C6" i="1"/>
  <c r="K67" i="114"/>
  <c r="K62" i="114"/>
  <c r="K45" i="114"/>
  <c r="K189" i="114"/>
  <c r="B6" i="46"/>
  <c r="B6" i="116" s="1"/>
  <c r="C6" i="116" s="1"/>
  <c r="D6" i="116" s="1"/>
  <c r="C6" i="46"/>
  <c r="D6" i="46" s="1"/>
  <c r="C7" i="4"/>
  <c r="D11" i="1"/>
  <c r="E11" i="116" s="1"/>
  <c r="F11" i="116" s="1"/>
  <c r="C19" i="46"/>
  <c r="D19" i="46" s="1"/>
  <c r="E17" i="70"/>
  <c r="F17" i="70" s="1"/>
  <c r="B18" i="70"/>
  <c r="G13" i="95"/>
  <c r="E13" i="95"/>
  <c r="D7" i="95"/>
  <c r="F14" i="70"/>
  <c r="H14" i="70" s="1"/>
  <c r="J14" i="70" s="1"/>
  <c r="F12" i="95"/>
  <c r="G12" i="95"/>
  <c r="F8" i="95"/>
  <c r="F13" i="95"/>
  <c r="I11" i="70"/>
  <c r="H16" i="70" l="1"/>
  <c r="G16" i="70"/>
  <c r="AJ75" i="61"/>
  <c r="AK75" i="61" s="1"/>
  <c r="AL75" i="61" s="1"/>
  <c r="AL40" i="61"/>
  <c r="D62" i="121"/>
  <c r="D81" i="121"/>
  <c r="AL58" i="61"/>
  <c r="AK59" i="61"/>
  <c r="AL59" i="61" s="1"/>
  <c r="AL54" i="61"/>
  <c r="AK55" i="61"/>
  <c r="AL55" i="61" s="1"/>
  <c r="D17" i="95"/>
  <c r="F17" i="95" s="1"/>
  <c r="G17" i="95"/>
  <c r="I12" i="70"/>
  <c r="E12" i="70"/>
  <c r="F12" i="70" s="1"/>
  <c r="G12" i="70" s="1"/>
  <c r="E11" i="121"/>
  <c r="D35" i="121"/>
  <c r="D12" i="121"/>
  <c r="F14" i="4"/>
  <c r="K20" i="114"/>
  <c r="K86" i="114"/>
  <c r="E10" i="95"/>
  <c r="K79" i="114"/>
  <c r="C31" i="106"/>
  <c r="D11" i="95"/>
  <c r="G11" i="95" s="1"/>
  <c r="I30" i="106"/>
  <c r="H30" i="106"/>
  <c r="E15" i="70"/>
  <c r="H15" i="70" s="1"/>
  <c r="C15" i="70"/>
  <c r="C14" i="95"/>
  <c r="E8" i="116"/>
  <c r="F8" i="116" s="1"/>
  <c r="E10" i="4"/>
  <c r="E15" i="4" s="1"/>
  <c r="K53" i="114"/>
  <c r="K36" i="114"/>
  <c r="F10" i="70"/>
  <c r="K40" i="114"/>
  <c r="K30" i="114"/>
  <c r="B10" i="70"/>
  <c r="D10" i="70"/>
  <c r="K49" i="114"/>
  <c r="F6" i="116"/>
  <c r="E6" i="116"/>
  <c r="D7" i="4"/>
  <c r="K63" i="114"/>
  <c r="K68" i="114"/>
  <c r="E6" i="1"/>
  <c r="F6" i="1" s="1"/>
  <c r="I6" i="1" s="1"/>
  <c r="K191" i="114"/>
  <c r="C18" i="70"/>
  <c r="E18" i="70"/>
  <c r="G18" i="70" s="1"/>
  <c r="D18" i="70"/>
  <c r="G17" i="70"/>
  <c r="H17" i="70"/>
  <c r="K25" i="114"/>
  <c r="K44" i="114"/>
  <c r="F10" i="95"/>
  <c r="K196" i="114"/>
  <c r="K37" i="114"/>
  <c r="H12" i="70" l="1"/>
  <c r="D59" i="121"/>
  <c r="D77" i="121" s="1"/>
  <c r="D36" i="121"/>
  <c r="D39" i="121" s="1"/>
  <c r="F11" i="121"/>
  <c r="E35" i="121"/>
  <c r="E12" i="121"/>
  <c r="D108" i="121"/>
  <c r="F108" i="121" s="1"/>
  <c r="L108" i="121" s="1"/>
  <c r="D53" i="121"/>
  <c r="G6" i="1"/>
  <c r="H6" i="1" s="1"/>
  <c r="K69" i="114"/>
  <c r="K26" i="114"/>
  <c r="K82" i="114"/>
  <c r="C11" i="95"/>
  <c r="I31" i="106"/>
  <c r="E123" i="114"/>
  <c r="E115" i="114"/>
  <c r="E114" i="114"/>
  <c r="G14" i="95"/>
  <c r="D14" i="95"/>
  <c r="E14" i="95" s="1"/>
  <c r="K71" i="114" s="1"/>
  <c r="K59" i="114"/>
  <c r="K64" i="114"/>
  <c r="E7" i="4"/>
  <c r="F7" i="4" s="1"/>
  <c r="E6" i="95"/>
  <c r="G6" i="95"/>
  <c r="F6" i="95"/>
  <c r="C6" i="95"/>
  <c r="D6" i="95" s="1"/>
  <c r="F18" i="70"/>
  <c r="H18" i="70" s="1"/>
  <c r="I18" i="70"/>
  <c r="K190" i="114"/>
  <c r="K43" i="114"/>
  <c r="K35" i="114"/>
  <c r="K194" i="114"/>
  <c r="E59" i="121" l="1"/>
  <c r="E77" i="121" s="1"/>
  <c r="E36" i="121"/>
  <c r="E39" i="121" s="1"/>
  <c r="F35" i="121"/>
  <c r="I11" i="121"/>
  <c r="F12" i="121"/>
  <c r="K221" i="114"/>
  <c r="K220" i="114"/>
  <c r="D110" i="121"/>
  <c r="O110" i="121" s="1"/>
  <c r="E53" i="121"/>
  <c r="D60" i="121"/>
  <c r="D61" i="121" s="1"/>
  <c r="F11" i="95"/>
  <c r="E11" i="95"/>
  <c r="K27" i="114"/>
  <c r="E10" i="70"/>
  <c r="G10" i="70" s="1"/>
  <c r="H10" i="70"/>
  <c r="F14" i="95"/>
  <c r="F59" i="121" l="1"/>
  <c r="F36" i="121"/>
  <c r="F39" i="121" s="1"/>
  <c r="E60" i="121"/>
  <c r="E61" i="121" s="1"/>
  <c r="J11" i="121"/>
  <c r="G35" i="121"/>
  <c r="G36" i="121" s="1"/>
  <c r="G39" i="121" s="1"/>
  <c r="I12" i="121"/>
  <c r="F110" i="121"/>
  <c r="E13" i="70"/>
  <c r="C13" i="70"/>
  <c r="H13" i="70"/>
  <c r="C10" i="70"/>
  <c r="F10" i="4"/>
  <c r="F15" i="4" s="1"/>
  <c r="H35" i="121" l="1"/>
  <c r="H36" i="121" s="1"/>
  <c r="H39" i="121" s="1"/>
  <c r="J12" i="121"/>
  <c r="J35" i="121"/>
  <c r="J36" i="121" s="1"/>
  <c r="J39" i="121" s="1"/>
  <c r="F60" i="121"/>
  <c r="F61" i="121" s="1"/>
  <c r="F77" i="121"/>
  <c r="L110" i="121"/>
  <c r="K223"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E109"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<sst xmlns="http://schemas.openxmlformats.org/spreadsheetml/2006/main" count="1572" uniqueCount="726">
  <si>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</si>
  <si>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</si>
  <si>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</si>
  <si>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</si>
  <si>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</si>
  <si>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</si>
  <si>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</si>
  <si>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</si>
  <si>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</si>
  <si>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</si>
  <si>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</si>
  <si>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</si>
  <si>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</si>
  <si>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</si>
  <si>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</si>
  <si>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</si>
  <si>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</si>
  <si>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</si>
  <si>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</si>
  <si>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</si>
  <si>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</si>
  <si>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</si>
  <si>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</si>
  <si>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</si>
  <si>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</si>
  <si>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</si>
  <si>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</si>
  <si>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</si>
  <si>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</si>
  <si>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</si>
  <si>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</si>
  <si>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</si>
  <si>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</si>
  <si>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</si>
  <si>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</si>
  <si>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</si>
  <si>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</si>
  <si>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</si>
  <si>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</si>
  <si>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</si>
  <si>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</si>
  <si>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</si>
  <si>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</si>
  <si>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</si>
  <si>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</si>
  <si>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</si>
  <si>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</si>
  <si>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</si>
  <si>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</si>
  <si>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</si>
  <si>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</si>
  <si>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</si>
  <si>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</si>
  <si>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</si>
  <si>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</si>
  <si>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</si>
  <si>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</si>
  <si>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</si>
  <si>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</si>
  <si>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</si>
  <si>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</si>
  <si>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</si>
  <si>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</si>
  <si>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</si>
  <si>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</si>
  <si>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</si>
  <si>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</si>
  <si>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</si>
  <si>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</si>
  <si>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</si>
  <si>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</si>
  <si>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</si>
  <si>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</si>
  <si>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</si>
  <si>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</si>
  <si>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</si>
  <si>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</si>
  <si>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</si>
  <si>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</si>
  <si>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</si>
  <si>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</si>
  <si>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</si>
  <si>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</si>
  <si>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</si>
  <si>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</si>
  <si>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</si>
  <si>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</si>
  <si>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</si>
  <si>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</si>
  <si>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</si>
  <si>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</si>
  <si>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</si>
  <si>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</si>
  <si>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</si>
  <si>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</si>
  <si>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</si>
  <si>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</si>
  <si>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</si>
  <si>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</si>
  <si>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</si>
  <si>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</si>
  <si>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</si>
  <si>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</si>
  <si>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</si>
  <si>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</si>
  <si>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</si>
  <si>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</si>
  <si>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</si>
  <si>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</si>
  <si>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</si>
  <si>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</si>
  <si>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</si>
  <si>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</si>
  <si>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</si>
  <si>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</si>
  <si>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</si>
  <si>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</si>
  <si>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</si>
  <si>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</si>
  <si>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</si>
  <si>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</si>
  <si>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</si>
  <si>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</si>
  <si>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</si>
  <si>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</si>
  <si>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</si>
  <si>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</si>
  <si>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</si>
  <si>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</si>
  <si>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</si>
  <si>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</si>
  <si>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</si>
  <si>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</si>
  <si>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</si>
  <si>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</si>
  <si>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</si>
  <si>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</si>
  <si>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</si>
  <si>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</si>
  <si>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</si>
  <si>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</si>
  <si>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</si>
  <si>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</si>
  <si>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</si>
  <si>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</si>
  <si>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</si>
  <si>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</si>
  <si>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</si>
  <si>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</si>
  <si>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</si>
  <si>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</si>
  <si>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</si>
  <si>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</si>
  <si>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</si>
  <si>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</si>
  <si>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</si>
  <si>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</si>
  <si>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</si>
  <si>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</si>
  <si>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</si>
  <si>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</si>
  <si>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</si>
  <si>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</si>
  <si>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</si>
  <si>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</si>
  <si>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</si>
  <si>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</si>
  <si>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</si>
  <si>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</si>
  <si>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</si>
  <si>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</si>
  <si>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</si>
  <si>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</si>
  <si>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</si>
  <si>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</si>
  <si>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</si>
  <si>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</si>
  <si>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</si>
  <si>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</si>
  <si>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</si>
  <si>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</si>
  <si>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</si>
  <si>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</si>
  <si>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</si>
  <si>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</si>
  <si>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</si>
  <si>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</si>
  <si>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</si>
  <si>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</si>
  <si>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</si>
  <si>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</si>
  <si>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</si>
  <si>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</si>
  <si>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</si>
  <si>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</si>
  <si>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</si>
  <si>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</si>
  <si>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</si>
  <si>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</si>
  <si>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</si>
  <si>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</si>
  <si>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</si>
  <si>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</si>
  <si>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</si>
  <si>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</si>
  <si>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</si>
  <si>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</si>
  <si>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</si>
  <si>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</si>
  <si>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</si>
  <si>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</si>
  <si>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</si>
  <si>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</si>
  <si>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</si>
  <si>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</si>
  <si>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</si>
  <si>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</si>
  <si>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</si>
  <si>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</si>
  <si>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</si>
  <si>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</si>
  <si>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</si>
  <si>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</si>
  <si>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</si>
  <si>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</si>
  <si>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</si>
  <si>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</si>
  <si>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</si>
  <si>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</si>
  <si>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</si>
  <si>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</si>
  <si>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</si>
  <si>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</si>
  <si>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</si>
  <si>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</si>
  <si>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</si>
  <si>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</si>
  <si>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</si>
  <si>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</si>
  <si>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</si>
  <si>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</si>
  <si>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</si>
  <si>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</si>
  <si>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</si>
  <si>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</si>
  <si>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</si>
  <si>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</si>
  <si>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</si>
  <si>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</si>
  <si>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</si>
  <si>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</si>
  <si>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</si>
  <si>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</si>
  <si>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</si>
  <si>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</si>
  <si>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</si>
  <si>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</si>
  <si>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</si>
  <si>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</si>
  <si>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</si>
  <si>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</si>
  <si>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</si>
  <si>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</si>
  <si>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</si>
  <si>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</si>
  <si>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</si>
  <si>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</si>
  <si>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</si>
  <si>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</si>
  <si>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</si>
  <si>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</si>
  <si>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</si>
  <si>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</si>
  <si>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</si>
  <si>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</si>
  <si>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</si>
  <si>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</si>
  <si>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</si>
  <si>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</si>
  <si>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</si>
  <si>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</si>
  <si>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</si>
  <si>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</si>
  <si>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</si>
  <si>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</si>
  <si>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</si>
  <si>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</si>
  <si>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</si>
  <si>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</si>
  <si>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</si>
  <si>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</si>
  <si>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</si>
  <si>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</si>
  <si>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</si>
  <si>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</si>
  <si>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</si>
  <si>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</si>
  <si>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</si>
  <si>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</si>
  <si>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</si>
  <si>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</si>
  <si>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</si>
  <si>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</si>
  <si>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</si>
  <si>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</si>
  <si>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</si>
  <si>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</si>
  <si>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</si>
  <si>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</si>
  <si>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</si>
  <si>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</si>
  <si>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</si>
  <si>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</si>
  <si>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</si>
  <si>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</si>
  <si>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</si>
  <si>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</si>
  <si>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</si>
  <si>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</si>
  <si>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</si>
  <si>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</si>
  <si>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</si>
  <si>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</si>
  <si>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</si>
  <si>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</si>
  <si>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</si>
  <si>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</si>
  <si>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</si>
  <si>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</si>
  <si>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</si>
  <si>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</si>
  <si>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</si>
  <si>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</si>
  <si>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</si>
  <si>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</si>
  <si>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</si>
  <si>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</si>
  <si>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</si>
  <si>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</si>
  <si>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</si>
  <si>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</si>
  <si>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</si>
  <si>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</si>
  <si>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</si>
  <si>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</si>
  <si>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</si>
  <si>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</si>
  <si>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</si>
  <si>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</si>
  <si>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</si>
  <si>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</si>
  <si>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</si>
  <si>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</si>
  <si>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</si>
  <si>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</si>
  <si>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</si>
  <si>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</si>
  <si>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</si>
  <si>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</si>
  <si>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</si>
  <si>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</si>
  <si>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</si>
  <si>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</si>
  <si>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</si>
  <si>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</si>
  <si>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</si>
  <si>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</si>
  <si>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</si>
  <si>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</si>
  <si>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</si>
  <si>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</si>
  <si>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</si>
  <si>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</si>
  <si>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</si>
  <si>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</si>
  <si>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</si>
  <si>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</si>
  <si>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</si>
  <si>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</si>
  <si>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</si>
  <si>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</si>
  <si>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</si>
  <si>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</si>
  <si>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</si>
  <si>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</si>
  <si>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</si>
  <si>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</si>
  <si>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</si>
  <si>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</si>
  <si>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</si>
  <si>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</si>
  <si>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</si>
  <si>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</si>
  <si>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</si>
  <si>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</si>
  <si>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</si>
  <si>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</si>
  <si>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</si>
  <si>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</si>
  <si>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</si>
  <si>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</si>
  <si>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</si>
  <si>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</si>
  <si>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</si>
  <si>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</si>
  <si>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</si>
  <si>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</si>
  <si>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</si>
  <si>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</si>
  <si>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</si>
  <si>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</si>
  <si>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</si>
  <si>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</si>
  <si>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</si>
  <si>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</si>
  <si>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</si>
  <si>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</si>
  <si>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</si>
  <si>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</si>
  <si>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</si>
  <si>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</si>
  <si>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</si>
  <si>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</si>
  <si>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</si>
  <si>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</si>
  <si>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</si>
  <si>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</si>
  <si>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</si>
  <si>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</si>
  <si>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</si>
  <si>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</si>
  <si>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</si>
  <si>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</si>
  <si>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</si>
  <si>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</si>
  <si>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</si>
  <si>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</si>
  <si>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</si>
  <si>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</si>
  <si>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</si>
  <si>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</si>
  <si>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</si>
  <si>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</si>
  <si>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</si>
  <si>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</si>
  <si>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</si>
  <si>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</si>
  <si>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</si>
  <si>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</si>
  <si>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</si>
  <si>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</si>
  <si>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</si>
  <si>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</si>
  <si>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</si>
  <si>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</si>
  <si>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</si>
  <si>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</si>
  <si>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</si>
  <si>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</si>
  <si>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</si>
  <si>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</si>
  <si>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</si>
  <si>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</si>
  <si>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</si>
  <si>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</si>
  <si>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</si>
  <si>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</si>
  <si>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</si>
  <si>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</si>
  <si>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</si>
  <si>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</si>
  <si>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</si>
  <si>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</si>
  <si>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</si>
  <si>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</si>
  <si>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</si>
  <si>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</si>
  <si>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</si>
  <si>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</si>
  <si>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</si>
  <si>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</si>
  <si>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</si>
  <si>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</si>
  <si>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</si>
  <si>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</si>
  <si>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</si>
  <si>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</si>
  <si>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</si>
  <si>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</si>
  <si>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</si>
  <si>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</si>
  <si>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</si>
  <si>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</si>
  <si>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</si>
  <si>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</si>
  <si>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</si>
  <si>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</si>
  <si>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</si>
  <si>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</si>
  <si>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</si>
  <si>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</si>
  <si>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</si>
  <si>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</si>
  <si>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</si>
  <si>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</si>
  <si>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</si>
  <si>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</si>
  <si>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</si>
  <si>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</si>
  <si>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</si>
  <si>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</si>
  <si>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</si>
  <si>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</si>
  <si>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</si>
  <si>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</si>
  <si>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</si>
  <si>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</si>
  <si>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</si>
  <si>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</si>
  <si>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</si>
  <si>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</si>
  <si>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</si>
  <si>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</si>
  <si>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</si>
  <si>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</si>
  <si>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</si>
  <si>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</si>
  <si>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</si>
  <si>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</si>
  <si>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</si>
  <si>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</si>
  <si>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</si>
  <si>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</si>
  <si>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</si>
  <si>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</si>
  <si>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</si>
  <si>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</si>
  <si>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</si>
  <si>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</si>
  <si>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</si>
  <si>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</si>
  <si>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</si>
  <si>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</si>
  <si>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</si>
  <si>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</si>
  <si>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</si>
  <si>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</si>
  <si>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</si>
  <si>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</si>
  <si>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</si>
  <si>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</si>
  <si>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</si>
  <si>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</si>
  <si>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</si>
  <si>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</si>
  <si>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</si>
  <si>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</si>
  <si>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</si>
  <si>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</si>
  <si>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</si>
  <si>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</si>
  <si>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</si>
  <si>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</si>
  <si>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</si>
  <si>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</si>
  <si>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</si>
  <si>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</si>
  <si>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</si>
  <si>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</si>
  <si>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</si>
  <si>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</si>
  <si>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</si>
  <si>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</si>
  <si>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</si>
  <si>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</si>
  <si>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</si>
  <si>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</si>
  <si>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</si>
  <si>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</si>
  <si>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</si>
  <si>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</si>
  <si>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</si>
  <si>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</si>
  <si>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</si>
  <si>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</si>
  <si>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</si>
  <si>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</si>
  <si>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</si>
  <si>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</si>
  <si>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</si>
  <si>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</si>
  <si>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</si>
  <si>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</si>
  <si>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</si>
  <si>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</si>
  <si>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</si>
  <si>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</si>
  <si>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</si>
  <si>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</si>
  <si>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</si>
  <si>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</si>
  <si>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</si>
  <si>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</si>
  <si>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</si>
  <si>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</si>
  <si>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</si>
  <si>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</si>
  <si>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</si>
  <si>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</si>
  <si>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</si>
  <si>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</si>
  <si>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</si>
  <si>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</si>
  <si>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</si>
  <si>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</si>
  <si>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</si>
  <si>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</si>
  <si>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</si>
  <si>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</si>
  <si>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</si>
  <si>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</si>
  <si>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</si>
  <si>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</si>
  <si>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</si>
  <si>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</si>
  <si>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</si>
  <si>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</si>
  <si>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</si>
  <si>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</si>
  <si>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</si>
  <si>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</si>
  <si>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</si>
  <si>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</si>
  <si>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</si>
  <si>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</si>
  <si>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</si>
  <si>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</si>
  <si>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</si>
  <si>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</si>
  <si>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</si>
  <si>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</si>
  <si>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</si>
  <si>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</si>
  <si>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</si>
  <si>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</si>
  <si>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</si>
  <si>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</si>
  <si>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</si>
  <si>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</si>
  <si>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</si>
  <si>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</si>
  <si>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</si>
  <si>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</si>
  <si>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</si>
  <si>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</si>
  <si>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</si>
  <si>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</si>
  <si>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</si>
  <si>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</si>
  <si>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</si>
  <si>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</si>
  <si>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</si>
  <si>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</si>
  <si>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</si>
  <si>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</si>
  <si>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</si>
  <si>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REVISAR PRESENTACION COMITÉ</t>
  </si>
  <si>
    <t>N/A</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</si>
  <si>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</si>
  <si>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</si>
  <si>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</si>
  <si>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</si>
  <si>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</si>
  <si>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</si>
  <si>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</si>
  <si>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</si>
  <si>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</si>
  <si>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</si>
  <si>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</si>
  <si>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</si>
  <si>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</si>
  <si>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</si>
  <si>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</si>
  <si>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</si>
  <si>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</si>
  <si>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</si>
  <si>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</si>
  <si>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</si>
  <si>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</si>
  <si>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</si>
  <si>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</si>
  <si>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</si>
  <si>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</si>
  <si>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</si>
  <si>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</si>
  <si>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</si>
  <si>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</si>
  <si>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</si>
  <si>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</si>
  <si>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</si>
  <si>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</si>
  <si>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</si>
  <si>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</si>
  <si>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</si>
  <si>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</si>
  <si>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</si>
  <si>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</si>
  <si>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Actualizada</t>
  </si>
  <si>
    <t>OK ACTUALIADA</t>
  </si>
  <si>
    <t>RESOLUCION 40420 de 2020</t>
  </si>
  <si>
    <t>*Se ajusta cada primero de Febrero con resolución DIAN</t>
  </si>
  <si>
    <t>CON DESTINO A SAN ANDRÉS PARA GENERACION ELÉCTRICA</t>
  </si>
  <si>
    <t>Definidas por Resolución 0009 de 31 ENE 2020 DIAN</t>
  </si>
  <si>
    <t>OK ACTUALIZADA</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</si>
  <si>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</si>
  <si>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</si>
  <si>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</si>
  <si>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</si>
  <si>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t>OKK</t>
  </si>
  <si>
    <r>
      <t xml:space="preserve">Biodiesel B12/   </t>
    </r>
    <r>
      <rPr>
        <b/>
        <sz val="11"/>
        <color theme="3" tint="0.59999389629810485"/>
        <rFont val="Arial"/>
        <family val="2"/>
      </rPr>
      <t>B12T</t>
    </r>
  </si>
  <si>
    <t>Vigencia: 11 de Mayo de 2021 al 08 de Junio de 2021 o hasta el momento en que el MME lo determine</t>
  </si>
  <si>
    <t>De acuerdo con las Resoluciones 40144 y 40147 del Ministerio de Minas y Energía</t>
  </si>
  <si>
    <t>OK  OK OK</t>
  </si>
  <si>
    <t>OK OK OK</t>
  </si>
  <si>
    <t>01 DE JUNIO 2021</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</si>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</sst>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0000_);_(* \(#,##0.00000\);_(* &quot;-&quot;??_);_(@_)"/>
    <numFmt numFmtId="173" formatCode="0.0000"/>
    <numFmt numFmtId="174" formatCode="_-* #,##0.000_-;\-* #,##0.000_-;_-* &quot;-&quot;??_-;_-@_-"/>
    <numFmt numFmtId="175" formatCode="_-* #,##0.00_-;\-* #,##0.00_-;_-* &quot;-&quot;???_-;_-@_-"/>
    <numFmt numFmtId="176" formatCode="0.000%"/>
    <numFmt numFmtId="177" formatCode="#,##0.000"/>
    <numFmt numFmtId="178" formatCode="_-&quot;$&quot;\ * #,##0.00_-;\-&quot;$&quot;\ * #,##0.00_-;_-&quot;$&quot;\ * &quot;-&quot;_-;_-@_-"/>
    <numFmt numFmtId="179" formatCode="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8" fillId="0" borderId="0"/>
    <xf numFmtId="0" fontId="19" fillId="0" borderId="0"/>
    <xf numFmtId="0" fontId="18" fillId="0" borderId="0"/>
    <xf numFmtId="0" fontId="19" fillId="0" borderId="0"/>
    <xf numFmtId="0" fontId="20" fillId="0" borderId="0">
      <protection locked="0"/>
    </xf>
    <xf numFmtId="0" fontId="21" fillId="0" borderId="0">
      <protection locked="0"/>
    </xf>
    <xf numFmtId="0" fontId="21"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43" fontId="17" fillId="0" borderId="0" applyFont="0" applyFill="0" applyBorder="0" applyAlignment="0" applyProtection="0"/>
    <xf numFmtId="0" fontId="17" fillId="0" borderId="0" applyFont="0" applyFill="0" applyBorder="0" applyAlignment="0" applyProtection="0"/>
    <xf numFmtId="0" fontId="20" fillId="0" borderId="0">
      <protection locked="0"/>
    </xf>
    <xf numFmtId="37" fontId="22" fillId="0" borderId="0"/>
    <xf numFmtId="0" fontId="17" fillId="0" borderId="0"/>
    <xf numFmtId="0" fontId="17" fillId="0" borderId="0"/>
    <xf numFmtId="0" fontId="38" fillId="0" borderId="0"/>
    <xf numFmtId="166" fontId="27" fillId="0" borderId="0"/>
    <xf numFmtId="9" fontId="17" fillId="0" borderId="0" applyFont="0" applyFill="0" applyBorder="0" applyAlignment="0" applyProtection="0"/>
    <xf numFmtId="9" fontId="17" fillId="0" borderId="0" applyFont="0" applyFill="0" applyBorder="0" applyAlignment="0" applyProtection="0"/>
    <xf numFmtId="166" fontId="24" fillId="0" borderId="0">
      <alignment horizontal="left"/>
    </xf>
    <xf numFmtId="38" fontId="23" fillId="0" borderId="0"/>
    <xf numFmtId="0" fontId="20" fillId="0" borderId="1">
      <protection locked="0"/>
    </xf>
    <xf numFmtId="0" fontId="16" fillId="0" borderId="0"/>
    <xf numFmtId="41" fontId="95" fillId="0" borderId="0" applyFont="0" applyFill="0" applyBorder="0" applyAlignment="0" applyProtection="0"/>
    <xf numFmtId="42" fontId="101" fillId="0" borderId="0" applyFont="0" applyFill="0" applyBorder="0" applyAlignment="0" applyProtection="0"/>
    <xf numFmtId="0" fontId="108" fillId="0" borderId="0" applyNumberFormat="0" applyFill="0" applyBorder="0" applyAlignment="0" applyProtection="0"/>
  </cellStyleXfs>
  <cellXfs count="864">
    <xf numFmtId="0" fontId="0" fillId="0" borderId="0" xfId="0"/>
    <xf numFmtId="0" fontId="51"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164" fontId="28" fillId="2" borderId="0" xfId="0" applyNumberFormat="1" applyFont="1" applyFill="1" applyAlignment="1" applyProtection="1">
      <alignment vertical="center"/>
      <protection hidden="1"/>
    </xf>
    <xf numFmtId="2" fontId="28" fillId="2" borderId="0" xfId="0" applyNumberFormat="1" applyFont="1" applyFill="1" applyAlignment="1" applyProtection="1">
      <alignment vertical="center"/>
      <protection hidden="1"/>
    </xf>
    <xf numFmtId="0" fontId="28" fillId="0" borderId="0" xfId="0" applyFont="1" applyBorder="1" applyAlignment="1" applyProtection="1">
      <alignment vertical="center"/>
      <protection hidden="1"/>
    </xf>
    <xf numFmtId="0" fontId="28" fillId="12" borderId="0" xfId="0" applyFont="1" applyFill="1" applyBorder="1" applyAlignment="1" applyProtection="1">
      <alignment vertical="center"/>
      <protection hidden="1"/>
    </xf>
    <xf numFmtId="0" fontId="29" fillId="2" borderId="0" xfId="0" applyFont="1" applyFill="1" applyAlignment="1" applyProtection="1">
      <alignment vertical="center"/>
      <protection hidden="1"/>
    </xf>
    <xf numFmtId="0" fontId="29"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28" fillId="0" borderId="0" xfId="0" applyFont="1" applyAlignment="1" applyProtection="1">
      <alignment vertical="center"/>
      <protection hidden="1"/>
    </xf>
    <xf numFmtId="0" fontId="29" fillId="0" borderId="0" xfId="0" applyFont="1" applyBorder="1" applyAlignment="1" applyProtection="1">
      <alignment horizontal="left" vertical="center" wrapText="1"/>
      <protection hidden="1"/>
    </xf>
    <xf numFmtId="43" fontId="29" fillId="2" borderId="0" xfId="17" applyFont="1" applyFill="1" applyBorder="1" applyAlignment="1" applyProtection="1">
      <alignment vertical="center" wrapText="1"/>
      <protection hidden="1"/>
    </xf>
    <xf numFmtId="0" fontId="28"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49" fillId="0" borderId="0" xfId="0" applyFont="1" applyAlignment="1" applyProtection="1">
      <alignment horizontal="left" vertical="center"/>
      <protection hidden="1"/>
    </xf>
    <xf numFmtId="0" fontId="52"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29" fillId="2" borderId="0" xfId="0" applyFont="1" applyFill="1" applyBorder="1" applyAlignment="1" applyProtection="1">
      <alignment horizontal="left" vertical="center" wrapText="1"/>
      <protection hidden="1"/>
    </xf>
    <xf numFmtId="43" fontId="29" fillId="2" borderId="0" xfId="17" applyNumberFormat="1" applyFont="1" applyFill="1" applyBorder="1" applyAlignment="1" applyProtection="1">
      <alignment vertical="center" wrapText="1"/>
      <protection hidden="1"/>
    </xf>
    <xf numFmtId="43" fontId="29" fillId="2" borderId="0" xfId="17" applyFont="1" applyFill="1" applyBorder="1" applyAlignment="1" applyProtection="1">
      <alignment horizontal="center" vertical="center" wrapText="1"/>
      <protection hidden="1"/>
    </xf>
    <xf numFmtId="0" fontId="53" fillId="0" borderId="0" xfId="0" quotePrefix="1" applyFont="1" applyAlignment="1" applyProtection="1">
      <alignment horizontal="left" vertical="center"/>
      <protection hidden="1"/>
    </xf>
    <xf numFmtId="0" fontId="51" fillId="2" borderId="0" xfId="0" quotePrefix="1" applyFont="1" applyFill="1" applyBorder="1" applyAlignment="1" applyProtection="1">
      <alignment horizontal="left" vertical="center"/>
      <protection hidden="1"/>
    </xf>
    <xf numFmtId="4" fontId="50" fillId="2" borderId="0" xfId="0" applyNumberFormat="1" applyFont="1" applyFill="1" applyBorder="1" applyAlignment="1" applyProtection="1">
      <alignment horizontal="right" vertical="center"/>
      <protection hidden="1"/>
    </xf>
    <xf numFmtId="0" fontId="29" fillId="0" borderId="0" xfId="0" applyFont="1" applyAlignment="1" applyProtection="1">
      <alignment horizontal="center" vertical="center"/>
      <protection hidden="1"/>
    </xf>
    <xf numFmtId="4" fontId="28" fillId="2" borderId="35" xfId="0" applyNumberFormat="1" applyFont="1" applyFill="1" applyBorder="1" applyAlignment="1" applyProtection="1">
      <alignment horizontal="right" vertical="center"/>
      <protection hidden="1"/>
    </xf>
    <xf numFmtId="4" fontId="28" fillId="2" borderId="0" xfId="0" applyNumberFormat="1" applyFont="1" applyFill="1" applyBorder="1" applyAlignment="1" applyProtection="1">
      <alignment horizontal="right" vertical="center"/>
      <protection hidden="1"/>
    </xf>
    <xf numFmtId="166" fontId="53" fillId="2" borderId="0" xfId="24"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53" fillId="5" borderId="32" xfId="0" quotePrefix="1" applyFont="1" applyFill="1" applyBorder="1" applyAlignment="1" applyProtection="1">
      <alignment horizontal="left" vertical="center" wrapText="1"/>
      <protection hidden="1"/>
    </xf>
    <xf numFmtId="4" fontId="28" fillId="2" borderId="0" xfId="0" applyNumberFormat="1" applyFont="1" applyFill="1" applyAlignment="1" applyProtection="1">
      <alignment vertical="center"/>
      <protection hidden="1"/>
    </xf>
    <xf numFmtId="4" fontId="28" fillId="2" borderId="37" xfId="0" applyNumberFormat="1" applyFont="1" applyFill="1" applyBorder="1" applyAlignment="1" applyProtection="1">
      <alignment horizontal="right" vertical="center"/>
      <protection hidden="1"/>
    </xf>
    <xf numFmtId="0" fontId="49" fillId="2" borderId="0" xfId="0" applyFont="1" applyFill="1" applyAlignment="1" applyProtection="1">
      <alignment horizontal="fill" vertical="center" wrapText="1"/>
      <protection hidden="1"/>
    </xf>
    <xf numFmtId="0" fontId="28" fillId="2" borderId="0" xfId="0" applyFont="1" applyFill="1" applyAlignment="1" applyProtection="1">
      <alignment horizontal="fill" vertical="center" wrapText="1"/>
      <protection hidden="1"/>
    </xf>
    <xf numFmtId="0" fontId="54" fillId="12" borderId="0" xfId="0" applyFont="1" applyFill="1" applyBorder="1" applyAlignment="1" applyProtection="1">
      <alignment horizontal="left" vertical="center" wrapText="1"/>
      <protection hidden="1"/>
    </xf>
    <xf numFmtId="0" fontId="54" fillId="12" borderId="0" xfId="0" quotePrefix="1" applyFont="1" applyFill="1" applyBorder="1" applyAlignment="1" applyProtection="1">
      <alignment horizontal="left" vertical="center" wrapText="1"/>
      <protection hidden="1"/>
    </xf>
    <xf numFmtId="4" fontId="53" fillId="5" borderId="31" xfId="0" applyNumberFormat="1" applyFont="1" applyFill="1" applyBorder="1" applyAlignment="1" applyProtection="1">
      <alignment horizontal="right" vertical="center"/>
      <protection hidden="1"/>
    </xf>
    <xf numFmtId="4" fontId="53" fillId="5" borderId="36" xfId="0" applyNumberFormat="1" applyFont="1" applyFill="1" applyBorder="1" applyAlignment="1" applyProtection="1">
      <alignment horizontal="right" vertical="center"/>
      <protection hidden="1"/>
    </xf>
    <xf numFmtId="166" fontId="53" fillId="2" borderId="0" xfId="24" quotePrefix="1"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3" fillId="2" borderId="0" xfId="0" applyFont="1" applyFill="1" applyBorder="1" applyAlignment="1" applyProtection="1">
      <alignment horizontal="centerContinuous" vertical="center"/>
      <protection hidden="1"/>
    </xf>
    <xf numFmtId="0" fontId="29" fillId="2" borderId="0" xfId="0" applyFont="1" applyFill="1" applyAlignment="1" applyProtection="1">
      <alignment horizontal="left" vertical="center"/>
      <protection hidden="1"/>
    </xf>
    <xf numFmtId="0" fontId="53" fillId="5" borderId="34" xfId="0" quotePrefix="1" applyFont="1" applyFill="1" applyBorder="1" applyAlignment="1" applyProtection="1">
      <alignment horizontal="left" vertical="center" wrapText="1"/>
      <protection hidden="1"/>
    </xf>
    <xf numFmtId="4" fontId="53" fillId="5" borderId="37" xfId="0" applyNumberFormat="1" applyFont="1" applyFill="1" applyBorder="1" applyAlignment="1" applyProtection="1">
      <alignment horizontal="right" vertical="center"/>
      <protection hidden="1"/>
    </xf>
    <xf numFmtId="15" fontId="53" fillId="0" borderId="0" xfId="0" quotePrefix="1" applyNumberFormat="1" applyFont="1" applyAlignment="1" applyProtection="1">
      <alignment horizontal="left" vertical="center"/>
      <protection hidden="1"/>
    </xf>
    <xf numFmtId="0" fontId="54" fillId="12"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12" borderId="0" xfId="0" applyFont="1" applyFill="1" applyBorder="1" applyAlignment="1" applyProtection="1">
      <alignment vertical="center"/>
      <protection hidden="1"/>
    </xf>
    <xf numFmtId="0" fontId="51" fillId="6" borderId="38" xfId="0" applyFont="1" applyFill="1" applyBorder="1" applyAlignment="1" applyProtection="1">
      <alignment horizontal="center" vertical="center"/>
      <protection hidden="1"/>
    </xf>
    <xf numFmtId="17" fontId="51" fillId="6" borderId="40" xfId="0" applyNumberFormat="1" applyFont="1" applyFill="1" applyBorder="1" applyAlignment="1" applyProtection="1">
      <alignment horizontal="center" vertical="center" wrapText="1"/>
      <protection hidden="1"/>
    </xf>
    <xf numFmtId="0" fontId="37" fillId="0" borderId="0" xfId="0" quotePrefix="1" applyFont="1" applyFill="1" applyAlignment="1" applyProtection="1">
      <alignment horizontal="left" vertical="center"/>
      <protection hidden="1"/>
    </xf>
    <xf numFmtId="0" fontId="28" fillId="0" borderId="0" xfId="0" applyFont="1" applyFill="1" applyBorder="1" applyAlignment="1" applyProtection="1">
      <alignment vertical="center"/>
      <protection hidden="1"/>
    </xf>
    <xf numFmtId="0" fontId="55" fillId="0" borderId="0" xfId="0" applyFont="1" applyBorder="1" applyAlignment="1" applyProtection="1">
      <alignment vertical="center"/>
      <protection hidden="1"/>
    </xf>
    <xf numFmtId="0" fontId="55" fillId="12" borderId="0" xfId="0" applyFont="1" applyFill="1" applyBorder="1" applyAlignment="1" applyProtection="1">
      <alignment vertical="center"/>
      <protection hidden="1"/>
    </xf>
    <xf numFmtId="0" fontId="40" fillId="0" borderId="0" xfId="0" applyFont="1" applyAlignment="1" applyProtection="1">
      <alignment vertical="center"/>
      <protection hidden="1"/>
    </xf>
    <xf numFmtId="0" fontId="28" fillId="0" borderId="0" xfId="0" applyFont="1" applyBorder="1" applyAlignment="1" applyProtection="1">
      <alignment horizontal="center" vertical="center"/>
      <protection hidden="1"/>
    </xf>
    <xf numFmtId="0" fontId="28" fillId="12" borderId="0" xfId="0" applyFont="1" applyFill="1" applyBorder="1" applyAlignment="1" applyProtection="1">
      <alignment horizontal="center" vertical="center"/>
      <protection hidden="1"/>
    </xf>
    <xf numFmtId="0" fontId="28" fillId="2" borderId="34" xfId="0" quotePrefix="1" applyFont="1" applyFill="1" applyBorder="1" applyAlignment="1" applyProtection="1">
      <alignment horizontal="left" vertical="center" wrapText="1"/>
      <protection hidden="1"/>
    </xf>
    <xf numFmtId="0" fontId="49" fillId="0" borderId="0" xfId="0" applyFont="1" applyFill="1" applyBorder="1" applyAlignment="1" applyProtection="1">
      <alignment vertical="center"/>
      <protection hidden="1"/>
    </xf>
    <xf numFmtId="0" fontId="50" fillId="5" borderId="41" xfId="0" applyFont="1" applyFill="1" applyBorder="1" applyAlignment="1" applyProtection="1">
      <alignment horizontal="center" vertical="center" wrapText="1"/>
      <protection hidden="1"/>
    </xf>
    <xf numFmtId="0" fontId="29" fillId="0" borderId="42" xfId="0" applyFont="1" applyBorder="1" applyAlignment="1" applyProtection="1">
      <alignment horizontal="left" vertical="center" wrapText="1"/>
      <protection hidden="1"/>
    </xf>
    <xf numFmtId="2" fontId="52" fillId="0" borderId="41" xfId="0"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vertical="center" wrapText="1"/>
      <protection hidden="1"/>
    </xf>
    <xf numFmtId="2" fontId="29" fillId="0" borderId="41" xfId="0" quotePrefix="1"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horizontal="right" vertical="center" wrapText="1"/>
      <protection hidden="1"/>
    </xf>
    <xf numFmtId="0" fontId="29" fillId="0" borderId="43" xfId="0" applyFont="1" applyBorder="1" applyAlignment="1" applyProtection="1">
      <alignment horizontal="left" vertical="center" wrapText="1"/>
      <protection hidden="1"/>
    </xf>
    <xf numFmtId="2" fontId="52" fillId="0" borderId="44" xfId="0" applyNumberFormat="1" applyFont="1" applyFill="1" applyBorder="1" applyAlignment="1" applyProtection="1">
      <alignment horizontal="right" vertical="center" wrapText="1"/>
      <protection hidden="1"/>
    </xf>
    <xf numFmtId="43" fontId="29" fillId="0" borderId="45" xfId="17" applyFont="1" applyFill="1" applyBorder="1" applyAlignment="1" applyProtection="1">
      <alignment vertical="center" wrapText="1"/>
      <protection hidden="1"/>
    </xf>
    <xf numFmtId="0" fontId="29" fillId="0" borderId="46" xfId="0" applyFont="1" applyBorder="1" applyAlignment="1" applyProtection="1">
      <alignment horizontal="left" vertical="center" wrapText="1"/>
      <protection hidden="1"/>
    </xf>
    <xf numFmtId="15" fontId="51" fillId="5" borderId="44" xfId="0" quotePrefix="1" applyNumberFormat="1" applyFont="1" applyFill="1" applyBorder="1" applyAlignment="1" applyProtection="1">
      <alignment horizontal="center" vertical="center" wrapText="1"/>
      <protection hidden="1"/>
    </xf>
    <xf numFmtId="15" fontId="51" fillId="5" borderId="47" xfId="0" quotePrefix="1" applyNumberFormat="1" applyFont="1" applyFill="1" applyBorder="1" applyAlignment="1" applyProtection="1">
      <alignment horizontal="center" vertical="center" wrapText="1"/>
      <protection hidden="1"/>
    </xf>
    <xf numFmtId="0" fontId="29" fillId="0" borderId="42" xfId="0" applyFont="1" applyFill="1" applyBorder="1" applyAlignment="1" applyProtection="1">
      <alignment horizontal="left" vertical="center" wrapText="1"/>
      <protection hidden="1"/>
    </xf>
    <xf numFmtId="43" fontId="29" fillId="0" borderId="45" xfId="17" applyFont="1" applyFill="1" applyBorder="1" applyAlignment="1" applyProtection="1">
      <alignment horizontal="right" vertical="center" wrapText="1"/>
      <protection hidden="1"/>
    </xf>
    <xf numFmtId="0" fontId="28" fillId="0" borderId="41" xfId="0" applyFont="1" applyFill="1" applyBorder="1" applyAlignment="1" applyProtection="1">
      <alignment vertical="center"/>
      <protection hidden="1"/>
    </xf>
    <xf numFmtId="0" fontId="29" fillId="0" borderId="43" xfId="0" applyFont="1" applyFill="1" applyBorder="1" applyAlignment="1" applyProtection="1">
      <alignment horizontal="left" vertical="center" wrapText="1"/>
      <protection hidden="1"/>
    </xf>
    <xf numFmtId="43" fontId="29" fillId="0" borderId="44" xfId="17" applyFont="1" applyFill="1" applyBorder="1" applyAlignment="1" applyProtection="1">
      <alignment horizontal="right" vertical="center" wrapText="1"/>
      <protection hidden="1"/>
    </xf>
    <xf numFmtId="43" fontId="29" fillId="0" borderId="47" xfId="17" applyFont="1" applyFill="1" applyBorder="1" applyAlignment="1" applyProtection="1">
      <alignment horizontal="right" vertical="center" wrapText="1"/>
      <protection hidden="1"/>
    </xf>
    <xf numFmtId="0" fontId="29" fillId="0" borderId="46" xfId="0" applyFont="1" applyFill="1" applyBorder="1" applyAlignment="1" applyProtection="1">
      <alignment horizontal="left" vertical="center" wrapText="1"/>
      <protection hidden="1"/>
    </xf>
    <xf numFmtId="0" fontId="28" fillId="0" borderId="0" xfId="0" applyFont="1" applyFill="1" applyAlignment="1" applyProtection="1">
      <alignment vertical="center"/>
      <protection hidden="1"/>
    </xf>
    <xf numFmtId="0" fontId="28" fillId="0" borderId="0" xfId="0" applyFont="1" applyFill="1" applyAlignment="1" applyProtection="1">
      <alignment horizontal="left" vertical="center" wrapText="1"/>
      <protection hidden="1"/>
    </xf>
    <xf numFmtId="0" fontId="56" fillId="5" borderId="49" xfId="0" applyFont="1" applyFill="1" applyBorder="1" applyAlignment="1" applyProtection="1">
      <alignment horizontal="center" vertical="center" wrapText="1"/>
      <protection hidden="1"/>
    </xf>
    <xf numFmtId="0" fontId="50" fillId="16" borderId="49" xfId="0" applyFont="1" applyFill="1" applyBorder="1" applyAlignment="1" applyProtection="1">
      <alignment horizontal="center" vertical="center" wrapText="1"/>
      <protection hidden="1"/>
    </xf>
    <xf numFmtId="9" fontId="51" fillId="5" borderId="49" xfId="0" quotePrefix="1" applyNumberFormat="1" applyFont="1" applyFill="1" applyBorder="1" applyAlignment="1" applyProtection="1">
      <alignment horizontal="center" vertical="center" wrapText="1"/>
      <protection hidden="1"/>
    </xf>
    <xf numFmtId="9" fontId="51" fillId="16" borderId="49" xfId="0" quotePrefix="1" applyNumberFormat="1" applyFont="1" applyFill="1" applyBorder="1" applyAlignment="1" applyProtection="1">
      <alignment horizontal="center" vertical="center" wrapText="1"/>
      <protection hidden="1"/>
    </xf>
    <xf numFmtId="43" fontId="29" fillId="13"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vertical="center" wrapText="1"/>
      <protection hidden="1"/>
    </xf>
    <xf numFmtId="43" fontId="29" fillId="2" borderId="49" xfId="17" applyNumberFormat="1" applyFont="1" applyFill="1" applyBorder="1" applyAlignment="1" applyProtection="1">
      <alignment horizontal="center" vertical="center" wrapText="1"/>
      <protection hidden="1"/>
    </xf>
    <xf numFmtId="0" fontId="29" fillId="0" borderId="50" xfId="0" applyFont="1" applyBorder="1" applyAlignment="1" applyProtection="1">
      <alignment horizontal="left" vertical="center" wrapText="1"/>
      <protection hidden="1"/>
    </xf>
    <xf numFmtId="43" fontId="29" fillId="2" borderId="51" xfId="17" applyFont="1" applyFill="1" applyBorder="1" applyAlignment="1" applyProtection="1">
      <alignment horizontal="center" vertical="center" wrapText="1"/>
      <protection hidden="1"/>
    </xf>
    <xf numFmtId="43" fontId="29" fillId="13" borderId="51" xfId="17" applyFont="1" applyFill="1" applyBorder="1" applyAlignment="1" applyProtection="1">
      <alignment horizontal="center" vertical="center" wrapText="1"/>
      <protection hidden="1"/>
    </xf>
    <xf numFmtId="43" fontId="30" fillId="0" borderId="41" xfId="17" applyFont="1" applyFill="1" applyBorder="1" applyAlignment="1" applyProtection="1">
      <alignment vertical="center" wrapText="1"/>
      <protection hidden="1"/>
    </xf>
    <xf numFmtId="43" fontId="29" fillId="0" borderId="52" xfId="17" applyFont="1" applyFill="1" applyBorder="1" applyAlignment="1" applyProtection="1">
      <alignment vertical="center" wrapText="1"/>
      <protection hidden="1"/>
    </xf>
    <xf numFmtId="0" fontId="41" fillId="0" borderId="0" xfId="0" applyFont="1" applyFill="1" applyAlignment="1" applyProtection="1">
      <alignment vertical="center"/>
      <protection hidden="1"/>
    </xf>
    <xf numFmtId="0" fontId="51" fillId="6" borderId="53" xfId="0" applyFont="1" applyFill="1" applyBorder="1" applyAlignment="1" applyProtection="1">
      <alignment horizontal="center" vertical="center" wrapText="1"/>
      <protection hidden="1"/>
    </xf>
    <xf numFmtId="0" fontId="51" fillId="6" borderId="54" xfId="0" applyFont="1" applyFill="1" applyBorder="1" applyAlignment="1" applyProtection="1">
      <alignment horizontal="center" vertical="center" wrapText="1"/>
      <protection hidden="1"/>
    </xf>
    <xf numFmtId="0" fontId="51" fillId="6" borderId="55" xfId="0" applyFont="1" applyFill="1" applyBorder="1" applyAlignment="1" applyProtection="1">
      <alignment horizontal="center" vertical="center" wrapText="1"/>
      <protection hidden="1"/>
    </xf>
    <xf numFmtId="4" fontId="28" fillId="0" borderId="42" xfId="0" applyNumberFormat="1" applyFont="1" applyBorder="1" applyAlignment="1" applyProtection="1">
      <alignment vertical="center"/>
      <protection hidden="1"/>
    </xf>
    <xf numFmtId="4" fontId="28" fillId="0" borderId="41" xfId="0" applyNumberFormat="1" applyFont="1" applyFill="1" applyBorder="1" applyAlignment="1" applyProtection="1">
      <alignment horizontal="center" vertical="center"/>
      <protection hidden="1"/>
    </xf>
    <xf numFmtId="4" fontId="28" fillId="0" borderId="45" xfId="0" applyNumberFormat="1" applyFont="1" applyFill="1" applyBorder="1" applyAlignment="1" applyProtection="1">
      <alignment horizontal="center" vertical="center"/>
      <protection hidden="1"/>
    </xf>
    <xf numFmtId="0" fontId="28" fillId="0" borderId="42" xfId="0" applyFont="1" applyBorder="1" applyAlignment="1" applyProtection="1">
      <alignment horizontal="left" vertical="center" wrapText="1"/>
      <protection hidden="1"/>
    </xf>
    <xf numFmtId="4" fontId="28" fillId="0" borderId="41" xfId="0" applyNumberFormat="1" applyFont="1" applyBorder="1" applyAlignment="1" applyProtection="1">
      <alignment horizontal="center" vertical="center"/>
      <protection hidden="1"/>
    </xf>
    <xf numFmtId="4" fontId="28" fillId="0" borderId="45" xfId="0" applyNumberFormat="1" applyFont="1" applyBorder="1" applyAlignment="1" applyProtection="1">
      <alignment horizontal="center" vertical="center"/>
      <protection hidden="1"/>
    </xf>
    <xf numFmtId="4" fontId="50" fillId="17" borderId="42" xfId="0" applyNumberFormat="1" applyFont="1" applyFill="1" applyBorder="1" applyAlignment="1" applyProtection="1">
      <alignment horizontal="left" vertical="center" wrapText="1"/>
      <protection hidden="1"/>
    </xf>
    <xf numFmtId="4" fontId="50" fillId="17" borderId="41" xfId="0" applyNumberFormat="1" applyFont="1" applyFill="1" applyBorder="1" applyAlignment="1" applyProtection="1">
      <alignment horizontal="center" vertical="center" wrapText="1"/>
      <protection hidden="1"/>
    </xf>
    <xf numFmtId="4" fontId="50" fillId="17" borderId="45" xfId="0"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4" fontId="28" fillId="0" borderId="43" xfId="0" applyNumberFormat="1" applyFont="1" applyBorder="1" applyAlignment="1" applyProtection="1">
      <alignment vertical="center"/>
      <protection hidden="1"/>
    </xf>
    <xf numFmtId="4" fontId="29" fillId="0" borderId="44" xfId="0" applyNumberFormat="1" applyFont="1" applyFill="1" applyBorder="1" applyAlignment="1" applyProtection="1">
      <alignment horizontal="center" vertical="center"/>
      <protection hidden="1"/>
    </xf>
    <xf numFmtId="4" fontId="29" fillId="0" borderId="47" xfId="0" applyNumberFormat="1" applyFont="1" applyFill="1" applyBorder="1" applyAlignment="1" applyProtection="1">
      <alignment horizontal="center" vertical="center"/>
      <protection hidden="1"/>
    </xf>
    <xf numFmtId="4" fontId="28" fillId="0" borderId="46" xfId="0" applyNumberFormat="1" applyFont="1" applyBorder="1" applyAlignment="1" applyProtection="1">
      <alignment vertical="center"/>
      <protection hidden="1"/>
    </xf>
    <xf numFmtId="4" fontId="28" fillId="0" borderId="52" xfId="0" applyNumberFormat="1" applyFont="1" applyFill="1" applyBorder="1" applyAlignment="1" applyProtection="1">
      <alignment horizontal="center" vertical="center"/>
      <protection hidden="1"/>
    </xf>
    <xf numFmtId="4" fontId="28" fillId="0" borderId="48" xfId="0" applyNumberFormat="1" applyFont="1" applyFill="1" applyBorder="1" applyAlignment="1" applyProtection="1">
      <alignment horizontal="center" vertical="center"/>
      <protection hidden="1"/>
    </xf>
    <xf numFmtId="15" fontId="51" fillId="5" borderId="43" xfId="0" quotePrefix="1" applyNumberFormat="1" applyFont="1" applyFill="1" applyBorder="1" applyAlignment="1" applyProtection="1">
      <alignment horizontal="center" vertical="center" wrapText="1"/>
      <protection hidden="1"/>
    </xf>
    <xf numFmtId="0" fontId="28" fillId="0" borderId="42" xfId="0" applyFont="1" applyBorder="1" applyAlignment="1" applyProtection="1">
      <alignment vertical="center"/>
      <protection hidden="1"/>
    </xf>
    <xf numFmtId="0" fontId="51" fillId="6" borderId="53" xfId="0" applyFont="1" applyFill="1" applyBorder="1" applyAlignment="1" applyProtection="1">
      <alignment horizontal="center" vertical="center"/>
      <protection hidden="1"/>
    </xf>
    <xf numFmtId="4" fontId="28" fillId="0" borderId="45" xfId="0" applyNumberFormat="1" applyFont="1" applyFill="1" applyBorder="1" applyAlignment="1" applyProtection="1">
      <alignment vertical="center"/>
      <protection hidden="1"/>
    </xf>
    <xf numFmtId="0" fontId="28" fillId="12" borderId="42" xfId="0" quotePrefix="1" applyFont="1" applyFill="1" applyBorder="1" applyAlignment="1" applyProtection="1">
      <alignment horizontal="left" vertical="center"/>
      <protection hidden="1"/>
    </xf>
    <xf numFmtId="43" fontId="29" fillId="0" borderId="41" xfId="17" applyNumberFormat="1" applyFont="1" applyFill="1" applyBorder="1" applyAlignment="1" applyProtection="1">
      <alignment horizontal="right" vertical="center" wrapText="1"/>
      <protection hidden="1"/>
    </xf>
    <xf numFmtId="167" fontId="29" fillId="13" borderId="49" xfId="17" applyNumberFormat="1" applyFont="1" applyFill="1" applyBorder="1" applyAlignment="1" applyProtection="1">
      <alignment horizontal="center" vertical="center" wrapText="1"/>
      <protection hidden="1"/>
    </xf>
    <xf numFmtId="167" fontId="29" fillId="0" borderId="56" xfId="17" applyNumberFormat="1" applyFont="1" applyBorder="1" applyAlignment="1" applyProtection="1">
      <alignment horizontal="left" vertical="center" wrapText="1"/>
      <protection hidden="1"/>
    </xf>
    <xf numFmtId="167" fontId="29" fillId="13" borderId="57" xfId="17" applyNumberFormat="1" applyFont="1" applyFill="1" applyBorder="1" applyAlignment="1" applyProtection="1">
      <alignment horizontal="center" vertical="center" wrapText="1"/>
      <protection hidden="1"/>
    </xf>
    <xf numFmtId="167" fontId="28" fillId="12" borderId="0" xfId="17" applyNumberFormat="1" applyFont="1" applyFill="1" applyBorder="1" applyAlignment="1" applyProtection="1">
      <alignment horizontal="center" vertical="center"/>
      <protection hidden="1"/>
    </xf>
    <xf numFmtId="167" fontId="28" fillId="0" borderId="0" xfId="17" applyNumberFormat="1" applyFont="1" applyBorder="1" applyAlignment="1" applyProtection="1">
      <alignment horizontal="center" vertical="center"/>
      <protection hidden="1"/>
    </xf>
    <xf numFmtId="167" fontId="29" fillId="0" borderId="58" xfId="17" applyNumberFormat="1" applyFont="1" applyBorder="1" applyAlignment="1" applyProtection="1">
      <alignment horizontal="left" vertical="center" wrapText="1"/>
      <protection hidden="1"/>
    </xf>
    <xf numFmtId="167" fontId="29" fillId="2" borderId="49" xfId="17" applyNumberFormat="1" applyFont="1" applyFill="1" applyBorder="1" applyAlignment="1" applyProtection="1">
      <alignment horizontal="center" vertical="center" wrapText="1"/>
      <protection hidden="1"/>
    </xf>
    <xf numFmtId="167" fontId="29" fillId="0"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wrapText="1"/>
      <protection hidden="1"/>
    </xf>
    <xf numFmtId="43" fontId="29" fillId="0" borderId="58" xfId="17" applyNumberFormat="1" applyFont="1" applyBorder="1" applyAlignment="1" applyProtection="1">
      <alignment horizontal="left" vertical="center" wrapText="1"/>
      <protection hidden="1"/>
    </xf>
    <xf numFmtId="43" fontId="28" fillId="12" borderId="0" xfId="17" applyNumberFormat="1" applyFont="1" applyFill="1" applyBorder="1" applyAlignment="1" applyProtection="1">
      <alignment horizontal="center" vertical="center"/>
      <protection hidden="1"/>
    </xf>
    <xf numFmtId="43" fontId="28" fillId="0" borderId="0" xfId="17" applyNumberFormat="1" applyFont="1" applyBorder="1" applyAlignment="1" applyProtection="1">
      <alignment horizontal="center" vertical="center"/>
      <protection hidden="1"/>
    </xf>
    <xf numFmtId="4" fontId="28" fillId="12" borderId="42" xfId="0" applyNumberFormat="1" applyFont="1" applyFill="1" applyBorder="1" applyAlignment="1" applyProtection="1">
      <alignment vertical="center" wrapText="1"/>
      <protection hidden="1"/>
    </xf>
    <xf numFmtId="0" fontId="28" fillId="12" borderId="0" xfId="21" applyFont="1" applyFill="1" applyProtection="1">
      <protection hidden="1"/>
    </xf>
    <xf numFmtId="0" fontId="43" fillId="0" borderId="0" xfId="0" applyFont="1" applyAlignment="1">
      <alignment horizontal="center" vertical="center"/>
    </xf>
    <xf numFmtId="0" fontId="43"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3" fillId="0" borderId="2" xfId="0" applyFont="1" applyBorder="1" applyAlignment="1">
      <alignment vertical="center"/>
    </xf>
    <xf numFmtId="43" fontId="0" fillId="0" borderId="2" xfId="17" applyFont="1" applyBorder="1" applyAlignment="1">
      <alignment horizontal="center" vertical="center"/>
    </xf>
    <xf numFmtId="43" fontId="17" fillId="0" borderId="2" xfId="17" applyFont="1" applyBorder="1" applyAlignment="1">
      <alignment horizontal="center" vertic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7" fillId="0" borderId="0" xfId="0" applyFont="1" applyAlignment="1">
      <alignment horizontal="center" vertical="center"/>
    </xf>
    <xf numFmtId="0" fontId="59" fillId="19" borderId="2" xfId="0" applyFont="1" applyFill="1" applyBorder="1" applyAlignment="1">
      <alignment horizontal="center" vertical="center"/>
    </xf>
    <xf numFmtId="37" fontId="28" fillId="0" borderId="3" xfId="23" applyNumberFormat="1" applyFont="1" applyBorder="1" applyProtection="1"/>
    <xf numFmtId="37" fontId="28" fillId="0" borderId="4" xfId="23" applyNumberFormat="1" applyFont="1" applyBorder="1" applyProtection="1"/>
    <xf numFmtId="37" fontId="28" fillId="7" borderId="4" xfId="23" applyNumberFormat="1" applyFont="1" applyFill="1" applyBorder="1" applyProtection="1"/>
    <xf numFmtId="0" fontId="26" fillId="0" borderId="5" xfId="23" applyNumberFormat="1" applyFont="1" applyBorder="1" applyAlignment="1" applyProtection="1">
      <alignment horizontal="center"/>
    </xf>
    <xf numFmtId="4" fontId="17" fillId="3" borderId="5" xfId="21" applyNumberFormat="1" applyFill="1" applyBorder="1"/>
    <xf numFmtId="4" fontId="17" fillId="0" borderId="6" xfId="21" applyNumberFormat="1" applyBorder="1"/>
    <xf numFmtId="4" fontId="17" fillId="0" borderId="3" xfId="21" applyNumberFormat="1" applyBorder="1"/>
    <xf numFmtId="4" fontId="17" fillId="4" borderId="5" xfId="21" applyNumberFormat="1" applyFill="1" applyBorder="1"/>
    <xf numFmtId="4" fontId="17" fillId="0" borderId="5" xfId="21" applyNumberFormat="1" applyBorder="1"/>
    <xf numFmtId="4" fontId="17" fillId="20" borderId="6" xfId="21" applyNumberFormat="1" applyFill="1" applyBorder="1"/>
    <xf numFmtId="0" fontId="26" fillId="0" borderId="7" xfId="23" applyNumberFormat="1" applyFont="1" applyBorder="1" applyAlignment="1" applyProtection="1">
      <alignment horizontal="center"/>
    </xf>
    <xf numFmtId="4" fontId="17" fillId="3" borderId="7" xfId="21" applyNumberFormat="1" applyFill="1" applyBorder="1"/>
    <xf numFmtId="4" fontId="17" fillId="0" borderId="0" xfId="21" applyNumberFormat="1" applyBorder="1"/>
    <xf numFmtId="4" fontId="17" fillId="0" borderId="4" xfId="21" applyNumberFormat="1" applyBorder="1"/>
    <xf numFmtId="4" fontId="17" fillId="4" borderId="7" xfId="21" applyNumberFormat="1" applyFill="1" applyBorder="1"/>
    <xf numFmtId="4" fontId="17" fillId="0" borderId="7" xfId="21" applyNumberFormat="1" applyBorder="1"/>
    <xf numFmtId="4" fontId="17" fillId="20" borderId="0" xfId="21" applyNumberFormat="1" applyFill="1" applyBorder="1"/>
    <xf numFmtId="0" fontId="26" fillId="7" borderId="7" xfId="23" applyNumberFormat="1" applyFont="1" applyFill="1" applyBorder="1" applyAlignment="1" applyProtection="1">
      <alignment horizontal="center"/>
    </xf>
    <xf numFmtId="4" fontId="17" fillId="7" borderId="7" xfId="21" applyNumberFormat="1" applyFill="1" applyBorder="1"/>
    <xf numFmtId="4" fontId="17" fillId="7" borderId="0" xfId="21" applyNumberFormat="1" applyFill="1" applyBorder="1"/>
    <xf numFmtId="4" fontId="17" fillId="7" borderId="4" xfId="21" applyNumberFormat="1" applyFill="1" applyBorder="1"/>
    <xf numFmtId="4" fontId="17" fillId="3" borderId="0" xfId="21" applyNumberFormat="1" applyFill="1" applyBorder="1"/>
    <xf numFmtId="0" fontId="17" fillId="7" borderId="0" xfId="21" applyFill="1"/>
    <xf numFmtId="0" fontId="17" fillId="7" borderId="0" xfId="21" applyFill="1" applyAlignment="1">
      <alignment horizontal="left"/>
    </xf>
    <xf numFmtId="0" fontId="17" fillId="8" borderId="0" xfId="21" applyFill="1"/>
    <xf numFmtId="4" fontId="17" fillId="4" borderId="0" xfId="21" applyNumberFormat="1" applyFill="1" applyBorder="1"/>
    <xf numFmtId="4" fontId="17" fillId="19" borderId="0" xfId="21" applyNumberFormat="1" applyFill="1" applyBorder="1"/>
    <xf numFmtId="0" fontId="29" fillId="0" borderId="61" xfId="0" applyFont="1" applyFill="1" applyBorder="1" applyAlignment="1" applyProtection="1">
      <alignment horizontal="left" vertical="center" wrapText="1"/>
      <protection hidden="1"/>
    </xf>
    <xf numFmtId="0" fontId="29" fillId="0" borderId="62" xfId="0" applyFont="1" applyFill="1" applyBorder="1" applyAlignment="1" applyProtection="1">
      <alignment horizontal="left" vertical="center" wrapText="1"/>
      <protection hidden="1"/>
    </xf>
    <xf numFmtId="15" fontId="60" fillId="5" borderId="51" xfId="0" quotePrefix="1" applyNumberFormat="1" applyFont="1" applyFill="1" applyBorder="1" applyAlignment="1" applyProtection="1">
      <alignment horizontal="center" vertical="center" wrapText="1"/>
      <protection hidden="1"/>
    </xf>
    <xf numFmtId="15" fontId="60" fillId="16" borderId="51" xfId="0" quotePrefix="1" applyNumberFormat="1"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protection hidden="1"/>
    </xf>
    <xf numFmtId="15" fontId="61" fillId="5" borderId="44" xfId="0" applyNumberFormat="1" applyFont="1" applyFill="1" applyBorder="1" applyAlignment="1" applyProtection="1">
      <alignment horizontal="center" vertical="center" wrapText="1"/>
      <protection hidden="1"/>
    </xf>
    <xf numFmtId="15" fontId="61" fillId="5" borderId="44" xfId="0" quotePrefix="1" applyNumberFormat="1" applyFont="1" applyFill="1" applyBorder="1" applyAlignment="1" applyProtection="1">
      <alignment horizontal="center" vertical="center" wrapText="1"/>
      <protection hidden="1"/>
    </xf>
    <xf numFmtId="15" fontId="61" fillId="5" borderId="63" xfId="0" applyNumberFormat="1" applyFont="1" applyFill="1" applyBorder="1" applyAlignment="1" applyProtection="1">
      <alignment horizontal="center" vertical="center" wrapText="1"/>
      <protection hidden="1"/>
    </xf>
    <xf numFmtId="0" fontId="62" fillId="0" borderId="0" xfId="0" applyFont="1"/>
    <xf numFmtId="9" fontId="63" fillId="0" borderId="0" xfId="25" applyFont="1" applyFill="1" applyBorder="1" applyAlignment="1" applyProtection="1">
      <alignment horizontal="center" vertical="center"/>
      <protection hidden="1"/>
    </xf>
    <xf numFmtId="9" fontId="63" fillId="0" borderId="0" xfId="0" applyNumberFormat="1" applyFont="1" applyFill="1" applyAlignment="1" applyProtection="1">
      <alignment horizontal="center" vertical="center"/>
      <protection hidden="1"/>
    </xf>
    <xf numFmtId="168" fontId="25" fillId="2" borderId="7" xfId="23" applyNumberFormat="1" applyFont="1" applyFill="1" applyBorder="1" applyProtection="1"/>
    <xf numFmtId="0" fontId="25" fillId="2" borderId="0" xfId="23" applyFont="1" applyFill="1" applyBorder="1"/>
    <xf numFmtId="0" fontId="17" fillId="2" borderId="0" xfId="21" applyFill="1" applyBorder="1"/>
    <xf numFmtId="0" fontId="17" fillId="12" borderId="0" xfId="21" applyFill="1"/>
    <xf numFmtId="0" fontId="17" fillId="0" borderId="0" xfId="21"/>
    <xf numFmtId="37" fontId="39" fillId="9" borderId="0" xfId="23" applyNumberFormat="1" applyFont="1" applyFill="1" applyBorder="1" applyAlignment="1" applyProtection="1">
      <alignment horizontal="centerContinuous"/>
    </xf>
    <xf numFmtId="0" fontId="17" fillId="2" borderId="0" xfId="21" applyFill="1" applyAlignment="1">
      <alignment horizontal="centerContinuous"/>
    </xf>
    <xf numFmtId="0" fontId="44" fillId="10" borderId="5" xfId="21" applyFont="1" applyFill="1" applyBorder="1"/>
    <xf numFmtId="0" fontId="45" fillId="10" borderId="6" xfId="21" applyFont="1" applyFill="1" applyBorder="1" applyAlignment="1">
      <alignment horizontal="right"/>
    </xf>
    <xf numFmtId="10" fontId="45" fillId="10" borderId="3" xfId="26" applyNumberFormat="1" applyFont="1" applyFill="1" applyBorder="1" applyAlignment="1">
      <alignment horizontal="center"/>
    </xf>
    <xf numFmtId="0" fontId="45" fillId="10" borderId="6" xfId="21" quotePrefix="1" applyFont="1" applyFill="1" applyBorder="1" applyAlignment="1">
      <alignment horizontal="right"/>
    </xf>
    <xf numFmtId="0" fontId="17" fillId="0" borderId="8" xfId="21" applyBorder="1"/>
    <xf numFmtId="0" fontId="17" fillId="0" borderId="9" xfId="21" applyBorder="1"/>
    <xf numFmtId="49" fontId="46" fillId="11" borderId="10" xfId="21" applyNumberFormat="1" applyFont="1" applyFill="1" applyBorder="1" applyAlignment="1">
      <alignment horizontal="center" wrapText="1"/>
    </xf>
    <xf numFmtId="49" fontId="46" fillId="0" borderId="10" xfId="21" applyNumberFormat="1" applyFont="1" applyBorder="1" applyAlignment="1">
      <alignment horizontal="center" wrapText="1"/>
    </xf>
    <xf numFmtId="49" fontId="46" fillId="20" borderId="10" xfId="21" applyNumberFormat="1" applyFont="1" applyFill="1" applyBorder="1" applyAlignment="1">
      <alignment horizontal="center" wrapText="1"/>
    </xf>
    <xf numFmtId="168" fontId="25" fillId="0" borderId="5" xfId="23" applyNumberFormat="1" applyFont="1" applyBorder="1" applyProtection="1"/>
    <xf numFmtId="37" fontId="28" fillId="0" borderId="3" xfId="23" quotePrefix="1" applyNumberFormat="1" applyFont="1" applyBorder="1" applyAlignment="1" applyProtection="1">
      <alignment horizontal="left"/>
    </xf>
    <xf numFmtId="37" fontId="28" fillId="0" borderId="4" xfId="23" quotePrefix="1" applyNumberFormat="1" applyFont="1" applyBorder="1" applyAlignment="1" applyProtection="1">
      <alignment horizontal="left"/>
    </xf>
    <xf numFmtId="0" fontId="26" fillId="0" borderId="11" xfId="23" applyNumberFormat="1" applyFont="1" applyBorder="1" applyAlignment="1" applyProtection="1">
      <alignment horizontal="center"/>
    </xf>
    <xf numFmtId="37" fontId="28" fillId="0" borderId="12" xfId="23" applyNumberFormat="1" applyFont="1" applyFill="1" applyBorder="1" applyProtection="1"/>
    <xf numFmtId="4" fontId="17" fillId="3" borderId="11" xfId="21" applyNumberFormat="1" applyFill="1" applyBorder="1"/>
    <xf numFmtId="4" fontId="17" fillId="0" borderId="13" xfId="21" applyNumberFormat="1" applyBorder="1"/>
    <xf numFmtId="4" fontId="17" fillId="0" borderId="12" xfId="21" applyNumberFormat="1" applyBorder="1"/>
    <xf numFmtId="4" fontId="17" fillId="4" borderId="11" xfId="21" applyNumberFormat="1" applyFill="1" applyBorder="1"/>
    <xf numFmtId="4" fontId="17" fillId="20" borderId="13" xfId="21" applyNumberFormat="1" applyFill="1" applyBorder="1"/>
    <xf numFmtId="168" fontId="25" fillId="0" borderId="7" xfId="23" applyNumberFormat="1" applyFont="1" applyBorder="1" applyProtection="1"/>
    <xf numFmtId="37" fontId="28" fillId="0" borderId="4" xfId="23" applyNumberFormat="1" applyFont="1" applyFill="1" applyBorder="1" applyProtection="1"/>
    <xf numFmtId="168" fontId="25" fillId="0" borderId="11" xfId="23" applyNumberFormat="1" applyFont="1" applyBorder="1" applyProtection="1"/>
    <xf numFmtId="4" fontId="17" fillId="0" borderId="11" xfId="21" applyNumberFormat="1" applyBorder="1"/>
    <xf numFmtId="0" fontId="26" fillId="7" borderId="11" xfId="23" applyNumberFormat="1" applyFont="1" applyFill="1" applyBorder="1" applyAlignment="1" applyProtection="1">
      <alignment horizontal="center"/>
    </xf>
    <xf numFmtId="37" fontId="28" fillId="7" borderId="12" xfId="23" applyNumberFormat="1" applyFont="1" applyFill="1" applyBorder="1" applyProtection="1"/>
    <xf numFmtId="4" fontId="17" fillId="7" borderId="11" xfId="21" applyNumberFormat="1" applyFill="1" applyBorder="1"/>
    <xf numFmtId="4" fontId="17" fillId="7" borderId="13" xfId="21" applyNumberFormat="1" applyFill="1" applyBorder="1"/>
    <xf numFmtId="4" fontId="17" fillId="7" borderId="12" xfId="21" applyNumberFormat="1" applyFill="1" applyBorder="1"/>
    <xf numFmtId="4" fontId="17" fillId="4" borderId="6" xfId="21" applyNumberFormat="1" applyFill="1" applyBorder="1"/>
    <xf numFmtId="37" fontId="28" fillId="0" borderId="12" xfId="23" quotePrefix="1" applyNumberFormat="1" applyFont="1" applyFill="1" applyBorder="1" applyAlignment="1" applyProtection="1">
      <alignment horizontal="left"/>
    </xf>
    <xf numFmtId="4" fontId="17" fillId="4" borderId="13" xfId="21" applyNumberFormat="1" applyFill="1" applyBorder="1"/>
    <xf numFmtId="4" fontId="17" fillId="0" borderId="0" xfId="21" applyNumberFormat="1"/>
    <xf numFmtId="37" fontId="28" fillId="0" borderId="12" xfId="23" applyNumberFormat="1" applyFont="1" applyBorder="1" applyProtection="1"/>
    <xf numFmtId="0" fontId="26" fillId="0" borderId="7" xfId="23" applyNumberFormat="1" applyFont="1" applyFill="1" applyBorder="1" applyAlignment="1" applyProtection="1">
      <alignment horizontal="center"/>
    </xf>
    <xf numFmtId="4" fontId="17" fillId="0" borderId="7" xfId="21" applyNumberFormat="1" applyFill="1" applyBorder="1"/>
    <xf numFmtId="4" fontId="17" fillId="0" borderId="0" xfId="21" applyNumberFormat="1" applyFill="1" applyBorder="1"/>
    <xf numFmtId="4" fontId="17" fillId="0" borderId="4" xfId="21" applyNumberFormat="1" applyFill="1" applyBorder="1"/>
    <xf numFmtId="4" fontId="17" fillId="0" borderId="11" xfId="21" applyNumberFormat="1" applyFill="1" applyBorder="1"/>
    <xf numFmtId="4" fontId="17" fillId="0" borderId="13" xfId="21" applyNumberFormat="1" applyFill="1" applyBorder="1"/>
    <xf numFmtId="4" fontId="17" fillId="0" borderId="12" xfId="21" applyNumberFormat="1" applyFill="1" applyBorder="1"/>
    <xf numFmtId="4" fontId="17" fillId="2" borderId="0" xfId="21" applyNumberFormat="1" applyFill="1" applyBorder="1"/>
    <xf numFmtId="37" fontId="28" fillId="2" borderId="0" xfId="23" applyNumberFormat="1" applyFont="1" applyFill="1" applyBorder="1" applyProtection="1"/>
    <xf numFmtId="4" fontId="17" fillId="21" borderId="0" xfId="21" applyNumberFormat="1" applyFill="1" applyBorder="1"/>
    <xf numFmtId="0" fontId="26" fillId="2" borderId="8" xfId="23" applyNumberFormat="1" applyFont="1" applyFill="1" applyBorder="1" applyAlignment="1" applyProtection="1">
      <alignment horizontal="center"/>
    </xf>
    <xf numFmtId="37" fontId="29" fillId="2" borderId="9" xfId="23" applyNumberFormat="1" applyFont="1" applyFill="1" applyBorder="1" applyProtection="1"/>
    <xf numFmtId="0" fontId="17" fillId="2" borderId="9" xfId="21" applyFill="1" applyBorder="1"/>
    <xf numFmtId="10" fontId="47" fillId="2" borderId="0" xfId="26" applyNumberFormat="1" applyFont="1" applyFill="1" applyAlignment="1">
      <alignment horizontal="center"/>
    </xf>
    <xf numFmtId="0" fontId="47" fillId="2" borderId="0" xfId="21" quotePrefix="1" applyFont="1" applyFill="1" applyAlignment="1">
      <alignment horizontal="right"/>
    </xf>
    <xf numFmtId="0" fontId="47" fillId="2" borderId="0" xfId="21" applyFont="1" applyFill="1" applyAlignment="1">
      <alignment horizontal="left"/>
    </xf>
    <xf numFmtId="10" fontId="17" fillId="0" borderId="0" xfId="21" applyNumberFormat="1"/>
    <xf numFmtId="0" fontId="17" fillId="2" borderId="14" xfId="21" applyFill="1" applyBorder="1"/>
    <xf numFmtId="0" fontId="43" fillId="2" borderId="10" xfId="21" applyFont="1" applyFill="1" applyBorder="1" applyAlignment="1">
      <alignment horizontal="center"/>
    </xf>
    <xf numFmtId="0" fontId="41" fillId="2" borderId="10" xfId="21" applyFont="1" applyFill="1" applyBorder="1"/>
    <xf numFmtId="0" fontId="17" fillId="2" borderId="10" xfId="21" applyFill="1" applyBorder="1"/>
    <xf numFmtId="0" fontId="41" fillId="2" borderId="10" xfId="21" applyFont="1" applyFill="1" applyBorder="1" applyAlignment="1">
      <alignment horizontal="centerContinuous"/>
    </xf>
    <xf numFmtId="0" fontId="17" fillId="2" borderId="10" xfId="21" applyFill="1" applyBorder="1" applyAlignment="1">
      <alignment horizontal="centerContinuous"/>
    </xf>
    <xf numFmtId="0" fontId="41" fillId="2" borderId="10" xfId="21" applyFont="1" applyFill="1" applyBorder="1" applyAlignment="1">
      <alignment horizontal="left"/>
    </xf>
    <xf numFmtId="0" fontId="17" fillId="2" borderId="8" xfId="21" applyFill="1" applyBorder="1" applyAlignment="1">
      <alignment horizontal="centerContinuous"/>
    </xf>
    <xf numFmtId="0" fontId="17" fillId="2" borderId="15" xfId="21" applyFill="1" applyBorder="1" applyAlignment="1">
      <alignment horizontal="centerContinuous"/>
    </xf>
    <xf numFmtId="0" fontId="17" fillId="2" borderId="9" xfId="21" applyFill="1" applyBorder="1" applyAlignment="1">
      <alignment horizontal="centerContinuous"/>
    </xf>
    <xf numFmtId="0" fontId="17" fillId="2" borderId="16" xfId="21" applyFill="1" applyBorder="1"/>
    <xf numFmtId="4" fontId="17" fillId="2" borderId="10" xfId="21" applyNumberFormat="1" applyFill="1" applyBorder="1"/>
    <xf numFmtId="0" fontId="17" fillId="2" borderId="8" xfId="21" applyFill="1" applyBorder="1"/>
    <xf numFmtId="4" fontId="17" fillId="2" borderId="15" xfId="21" applyNumberFormat="1" applyFill="1" applyBorder="1"/>
    <xf numFmtId="4" fontId="17" fillId="2" borderId="15" xfId="21" applyNumberFormat="1" applyFill="1" applyBorder="1" applyAlignment="1">
      <alignment horizontal="centerContinuous"/>
    </xf>
    <xf numFmtId="4" fontId="17" fillId="2" borderId="9" xfId="21" applyNumberFormat="1" applyFill="1" applyBorder="1" applyAlignment="1">
      <alignment horizontal="centerContinuous"/>
    </xf>
    <xf numFmtId="0" fontId="17" fillId="2" borderId="15" xfId="21" applyFill="1" applyBorder="1"/>
    <xf numFmtId="4" fontId="17" fillId="2" borderId="0" xfId="21" applyNumberFormat="1" applyFill="1"/>
    <xf numFmtId="0" fontId="17" fillId="2" borderId="17" xfId="21" applyFill="1" applyBorder="1"/>
    <xf numFmtId="0" fontId="43" fillId="2" borderId="17" xfId="21" applyFont="1" applyFill="1" applyBorder="1" applyAlignment="1">
      <alignment horizontal="center"/>
    </xf>
    <xf numFmtId="0" fontId="41" fillId="2" borderId="17" xfId="21" applyFont="1" applyFill="1" applyBorder="1"/>
    <xf numFmtId="4" fontId="17" fillId="2" borderId="17" xfId="21" applyNumberFormat="1" applyFill="1" applyBorder="1"/>
    <xf numFmtId="0" fontId="17" fillId="2" borderId="18" xfId="21" applyFill="1" applyBorder="1" applyAlignment="1">
      <alignment horizontal="centerContinuous"/>
    </xf>
    <xf numFmtId="0" fontId="17" fillId="2" borderId="19" xfId="21" applyFill="1" applyBorder="1" applyAlignment="1">
      <alignment horizontal="centerContinuous"/>
    </xf>
    <xf numFmtId="0" fontId="41" fillId="2" borderId="17" xfId="21" applyFont="1" applyFill="1" applyBorder="1" applyAlignment="1">
      <alignment horizontal="centerContinuous"/>
    </xf>
    <xf numFmtId="0" fontId="17" fillId="2" borderId="17" xfId="21" applyFill="1" applyBorder="1" applyAlignment="1">
      <alignment horizontal="centerContinuous"/>
    </xf>
    <xf numFmtId="2" fontId="17" fillId="12" borderId="0" xfId="21" applyNumberFormat="1" applyFill="1"/>
    <xf numFmtId="0" fontId="17" fillId="2" borderId="20" xfId="21" applyFill="1" applyBorder="1"/>
    <xf numFmtId="0" fontId="17" fillId="2" borderId="21" xfId="21" applyFill="1" applyBorder="1"/>
    <xf numFmtId="4" fontId="17" fillId="2" borderId="21" xfId="21" applyNumberFormat="1" applyFill="1" applyBorder="1"/>
    <xf numFmtId="0" fontId="17" fillId="2" borderId="22" xfId="21" applyFill="1" applyBorder="1"/>
    <xf numFmtId="0" fontId="17" fillId="2" borderId="23" xfId="21" applyFill="1" applyBorder="1"/>
    <xf numFmtId="0" fontId="41" fillId="2" borderId="21" xfId="21" applyFont="1" applyFill="1" applyBorder="1" applyAlignment="1">
      <alignment horizontal="centerContinuous"/>
    </xf>
    <xf numFmtId="4" fontId="17" fillId="2" borderId="24" xfId="21" applyNumberFormat="1" applyFill="1" applyBorder="1" applyAlignment="1">
      <alignment horizontal="centerContinuous"/>
    </xf>
    <xf numFmtId="4" fontId="17" fillId="2" borderId="25" xfId="21" applyNumberFormat="1" applyFill="1" applyBorder="1" applyAlignment="1">
      <alignment horizontal="centerContinuous"/>
    </xf>
    <xf numFmtId="0" fontId="41" fillId="2" borderId="21" xfId="21" applyFont="1" applyFill="1" applyBorder="1" applyAlignment="1">
      <alignment horizontal="left"/>
    </xf>
    <xf numFmtId="0" fontId="17" fillId="2" borderId="26" xfId="21" applyFill="1" applyBorder="1"/>
    <xf numFmtId="0" fontId="17" fillId="2" borderId="27" xfId="21" applyFill="1" applyBorder="1"/>
    <xf numFmtId="0" fontId="17" fillId="2" borderId="28" xfId="21" applyFill="1" applyBorder="1"/>
    <xf numFmtId="4" fontId="17" fillId="2" borderId="28" xfId="21" applyNumberFormat="1" applyFill="1" applyBorder="1"/>
    <xf numFmtId="4" fontId="17" fillId="2" borderId="29" xfId="21" applyNumberFormat="1" applyFill="1" applyBorder="1"/>
    <xf numFmtId="4" fontId="17" fillId="2" borderId="30" xfId="21" applyNumberFormat="1" applyFill="1" applyBorder="1"/>
    <xf numFmtId="0" fontId="43" fillId="2" borderId="0" xfId="21" quotePrefix="1" applyFont="1" applyFill="1" applyAlignment="1">
      <alignment horizontal="left"/>
    </xf>
    <xf numFmtId="0" fontId="17" fillId="2" borderId="0" xfId="21" quotePrefix="1" applyFill="1" applyAlignment="1">
      <alignment horizontal="left"/>
    </xf>
    <xf numFmtId="2" fontId="17" fillId="0" borderId="0" xfId="21" applyNumberFormat="1" applyFill="1"/>
    <xf numFmtId="0" fontId="26" fillId="2" borderId="0" xfId="21" applyFont="1" applyFill="1"/>
    <xf numFmtId="169" fontId="17" fillId="2" borderId="0" xfId="21" applyNumberFormat="1" applyFill="1"/>
    <xf numFmtId="170" fontId="17" fillId="2" borderId="0" xfId="21" applyNumberFormat="1" applyFill="1"/>
    <xf numFmtId="9" fontId="17" fillId="12" borderId="0" xfId="25" applyFont="1" applyFill="1"/>
    <xf numFmtId="0" fontId="48"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8" fillId="2" borderId="2" xfId="0" applyFont="1" applyFill="1" applyBorder="1" applyAlignment="1" applyProtection="1">
      <alignment vertical="center"/>
      <protection hidden="1"/>
    </xf>
    <xf numFmtId="4" fontId="28" fillId="2" borderId="2" xfId="0" applyNumberFormat="1" applyFont="1" applyFill="1" applyBorder="1" applyAlignment="1" applyProtection="1">
      <alignment vertical="center"/>
      <protection hidden="1"/>
    </xf>
    <xf numFmtId="0" fontId="28" fillId="20" borderId="2" xfId="0" applyFont="1" applyFill="1" applyBorder="1" applyAlignment="1" applyProtection="1">
      <alignment horizontal="center" vertical="center"/>
      <protection hidden="1"/>
    </xf>
    <xf numFmtId="43" fontId="25" fillId="0" borderId="0" xfId="17" applyFont="1"/>
    <xf numFmtId="0" fontId="0" fillId="0" borderId="0" xfId="0" applyAlignment="1">
      <alignment vertical="top" wrapText="1"/>
    </xf>
    <xf numFmtId="17" fontId="51" fillId="6" borderId="39" xfId="0" applyNumberFormat="1" applyFont="1" applyFill="1" applyBorder="1" applyAlignment="1" applyProtection="1">
      <alignment horizontal="center" vertical="center" wrapText="1"/>
      <protection hidden="1"/>
    </xf>
    <xf numFmtId="166" fontId="53" fillId="2" borderId="0" xfId="24" applyFont="1" applyFill="1" applyAlignment="1" applyProtection="1">
      <alignment horizontal="left" vertical="center"/>
      <protection hidden="1"/>
    </xf>
    <xf numFmtId="0" fontId="28" fillId="0" borderId="0" xfId="0" applyFont="1" applyAlignment="1" applyProtection="1">
      <alignment vertical="center"/>
      <protection hidden="1"/>
    </xf>
    <xf numFmtId="0" fontId="57" fillId="0" borderId="0" xfId="0" applyFont="1" applyFill="1" applyBorder="1" applyAlignment="1" applyProtection="1">
      <alignment horizontal="left" vertical="center" wrapText="1"/>
      <protection hidden="1"/>
    </xf>
    <xf numFmtId="9" fontId="50" fillId="5" borderId="52" xfId="25" quotePrefix="1" applyFont="1" applyFill="1" applyBorder="1" applyAlignment="1" applyProtection="1">
      <alignment horizontal="center" vertical="center" wrapText="1"/>
      <protection hidden="1"/>
    </xf>
    <xf numFmtId="0" fontId="17" fillId="0" borderId="0" xfId="0" applyFont="1" applyAlignment="1" applyProtection="1">
      <alignment vertical="center"/>
      <protection hidden="1"/>
    </xf>
    <xf numFmtId="0" fontId="28" fillId="14" borderId="32" xfId="0" quotePrefix="1" applyFont="1" applyFill="1" applyBorder="1" applyAlignment="1" applyProtection="1">
      <alignment horizontal="left" vertical="center"/>
      <protection hidden="1"/>
    </xf>
    <xf numFmtId="4" fontId="28" fillId="14" borderId="31" xfId="0" applyNumberFormat="1" applyFont="1" applyFill="1" applyBorder="1" applyAlignment="1" applyProtection="1">
      <alignment vertical="center"/>
      <protection hidden="1"/>
    </xf>
    <xf numFmtId="4" fontId="28" fillId="14" borderId="36" xfId="0" applyNumberFormat="1" applyFont="1" applyFill="1" applyBorder="1" applyAlignment="1" applyProtection="1">
      <alignment vertical="center"/>
      <protection hidden="1"/>
    </xf>
    <xf numFmtId="0" fontId="28" fillId="14" borderId="32" xfId="0" applyFont="1" applyFill="1" applyBorder="1" applyAlignment="1" applyProtection="1">
      <alignment horizontal="left" vertical="center"/>
      <protection hidden="1"/>
    </xf>
    <xf numFmtId="0" fontId="28" fillId="14" borderId="33" xfId="0" applyFont="1" applyFill="1" applyBorder="1" applyAlignment="1" applyProtection="1">
      <alignment horizontal="left" vertical="center" wrapText="1"/>
      <protection hidden="1"/>
    </xf>
    <xf numFmtId="4" fontId="28" fillId="14" borderId="31" xfId="0" applyNumberFormat="1" applyFont="1" applyFill="1" applyBorder="1" applyAlignment="1" applyProtection="1">
      <alignment horizontal="right" vertical="center"/>
      <protection hidden="1"/>
    </xf>
    <xf numFmtId="4" fontId="28" fillId="14" borderId="36" xfId="0" applyNumberFormat="1" applyFont="1" applyFill="1" applyBorder="1" applyAlignment="1" applyProtection="1">
      <alignment horizontal="righ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0" fontId="55" fillId="6" borderId="59" xfId="0" applyFont="1" applyFill="1" applyBorder="1" applyAlignment="1" applyProtection="1">
      <alignment horizontal="center" vertical="center" wrapText="1"/>
      <protection hidden="1"/>
    </xf>
    <xf numFmtId="0" fontId="55" fillId="6" borderId="60" xfId="0" applyFont="1" applyFill="1" applyBorder="1" applyAlignment="1" applyProtection="1">
      <alignment horizontal="center" vertical="center"/>
      <protection hidden="1"/>
    </xf>
    <xf numFmtId="0" fontId="50" fillId="5" borderId="45" xfId="0" applyFont="1" applyFill="1" applyBorder="1" applyAlignment="1" applyProtection="1">
      <alignment horizontal="center" vertical="center" wrapText="1"/>
      <protection hidden="1"/>
    </xf>
    <xf numFmtId="15" fontId="61" fillId="5" borderId="47" xfId="0"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center" vertical="center" wrapText="1"/>
      <protection hidden="1"/>
    </xf>
    <xf numFmtId="43" fontId="30" fillId="0" borderId="45" xfId="17" applyFont="1" applyFill="1" applyBorder="1" applyAlignment="1" applyProtection="1">
      <alignment vertical="center" wrapText="1"/>
      <protection hidden="1"/>
    </xf>
    <xf numFmtId="0" fontId="17" fillId="12" borderId="0" xfId="0" applyFont="1" applyFill="1" applyBorder="1" applyAlignment="1" applyProtection="1">
      <alignment vertical="center"/>
      <protection hidden="1"/>
    </xf>
    <xf numFmtId="0" fontId="17" fillId="0" borderId="0" xfId="0" applyFont="1" applyBorder="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0" fontId="28" fillId="2" borderId="0" xfId="0" quotePrefix="1" applyFont="1" applyFill="1" applyBorder="1" applyAlignment="1" applyProtection="1">
      <alignment horizontal="left" vertical="center" wrapText="1"/>
      <protection hidden="1"/>
    </xf>
    <xf numFmtId="4" fontId="28" fillId="2" borderId="41" xfId="0" applyNumberFormat="1" applyFont="1" applyFill="1" applyBorder="1" applyAlignment="1" applyProtection="1">
      <alignment vertical="center"/>
      <protection hidden="1"/>
    </xf>
    <xf numFmtId="4" fontId="28" fillId="23" borderId="41" xfId="0" applyNumberFormat="1" applyFont="1" applyFill="1" applyBorder="1" applyAlignment="1" applyProtection="1">
      <alignment vertical="center"/>
      <protection hidden="1"/>
    </xf>
    <xf numFmtId="4" fontId="28" fillId="0" borderId="41" xfId="0" applyNumberFormat="1" applyFont="1" applyFill="1" applyBorder="1" applyAlignment="1" applyProtection="1">
      <alignment horizontal="right" vertical="center"/>
      <protection hidden="1"/>
    </xf>
    <xf numFmtId="4" fontId="28" fillId="0" borderId="41"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vertical="center"/>
      <protection hidden="1"/>
    </xf>
    <xf numFmtId="17" fontId="51" fillId="6" borderId="54" xfId="0" applyNumberFormat="1" applyFont="1" applyFill="1" applyBorder="1" applyAlignment="1" applyProtection="1">
      <alignment horizontal="center" vertical="center" wrapText="1"/>
      <protection hidden="1"/>
    </xf>
    <xf numFmtId="17" fontId="51" fillId="6" borderId="55" xfId="0" applyNumberFormat="1" applyFont="1" applyFill="1" applyBorder="1" applyAlignment="1" applyProtection="1">
      <alignment horizontal="center" vertical="center" wrapText="1"/>
      <protection hidden="1"/>
    </xf>
    <xf numFmtId="0" fontId="28" fillId="2" borderId="42" xfId="0" quotePrefix="1" applyFont="1" applyFill="1" applyBorder="1" applyAlignment="1" applyProtection="1">
      <alignment horizontal="left" vertical="center"/>
      <protection hidden="1"/>
    </xf>
    <xf numFmtId="4" fontId="28" fillId="23" borderId="45" xfId="0" applyNumberFormat="1" applyFont="1" applyFill="1" applyBorder="1" applyAlignment="1" applyProtection="1">
      <alignment vertical="center"/>
      <protection hidden="1"/>
    </xf>
    <xf numFmtId="4" fontId="28" fillId="2" borderId="45" xfId="0" applyNumberFormat="1" applyFont="1" applyFill="1" applyBorder="1" applyAlignment="1" applyProtection="1">
      <alignment vertical="center"/>
      <protection hidden="1"/>
    </xf>
    <xf numFmtId="0" fontId="28" fillId="2" borderId="42" xfId="0" applyFont="1" applyFill="1" applyBorder="1" applyAlignment="1" applyProtection="1">
      <alignment horizontal="left" vertical="center"/>
      <protection hidden="1"/>
    </xf>
    <xf numFmtId="0" fontId="53" fillId="5" borderId="42" xfId="0" quotePrefix="1" applyFont="1" applyFill="1" applyBorder="1" applyAlignment="1" applyProtection="1">
      <alignment horizontal="left" vertical="center" wrapText="1"/>
      <protection hidden="1"/>
    </xf>
    <xf numFmtId="4" fontId="53" fillId="5" borderId="45" xfId="0" applyNumberFormat="1" applyFont="1" applyFill="1" applyBorder="1" applyAlignment="1" applyProtection="1">
      <alignment vertical="center"/>
      <protection hidden="1"/>
    </xf>
    <xf numFmtId="0" fontId="28" fillId="2" borderId="43" xfId="0" quotePrefix="1" applyFont="1" applyFill="1" applyBorder="1" applyAlignment="1" applyProtection="1">
      <alignment horizontal="left" vertical="center" wrapText="1"/>
      <protection hidden="1"/>
    </xf>
    <xf numFmtId="4" fontId="28" fillId="2" borderId="44" xfId="0" applyNumberFormat="1" applyFont="1" applyFill="1" applyBorder="1" applyAlignment="1" applyProtection="1">
      <alignment horizontal="right" vertical="center"/>
      <protection hidden="1"/>
    </xf>
    <xf numFmtId="4" fontId="28" fillId="2" borderId="47" xfId="0" applyNumberFormat="1" applyFont="1" applyFill="1" applyBorder="1" applyAlignment="1" applyProtection="1">
      <alignment horizontal="right" vertical="center"/>
      <protection hidden="1"/>
    </xf>
    <xf numFmtId="0" fontId="49" fillId="2" borderId="0" xfId="0" applyNumberFormat="1" applyFont="1" applyFill="1" applyAlignment="1" applyProtection="1">
      <alignment horizontal="justify" vertical="center" wrapText="1"/>
      <protection hidden="1"/>
    </xf>
    <xf numFmtId="0" fontId="53" fillId="5" borderId="42" xfId="0" quotePrefix="1" applyFont="1" applyFill="1" applyBorder="1" applyAlignment="1" applyProtection="1">
      <alignment horizontal="left" vertical="center"/>
      <protection hidden="1"/>
    </xf>
    <xf numFmtId="4" fontId="29" fillId="2" borderId="41"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horizontal="right" vertical="center"/>
      <protection hidden="1"/>
    </xf>
    <xf numFmtId="4" fontId="53" fillId="5" borderId="45" xfId="0" applyNumberFormat="1" applyFont="1" applyFill="1" applyBorder="1" applyAlignment="1" applyProtection="1">
      <alignment horizontal="right" vertical="center"/>
      <protection hidden="1"/>
    </xf>
    <xf numFmtId="0" fontId="50" fillId="15" borderId="53" xfId="0" applyFont="1" applyFill="1" applyBorder="1" applyAlignment="1" applyProtection="1">
      <alignment horizontal="center" vertical="center" wrapText="1"/>
      <protection hidden="1"/>
    </xf>
    <xf numFmtId="17" fontId="50" fillId="15" borderId="54" xfId="0" applyNumberFormat="1" applyFont="1" applyFill="1" applyBorder="1" applyAlignment="1" applyProtection="1">
      <alignment horizontal="center" vertical="center" wrapText="1"/>
      <protection hidden="1"/>
    </xf>
    <xf numFmtId="17" fontId="50" fillId="15" borderId="55" xfId="0" applyNumberFormat="1" applyFont="1" applyFill="1" applyBorder="1" applyAlignment="1" applyProtection="1">
      <alignment horizontal="center" vertical="center" wrapText="1"/>
      <protection hidden="1"/>
    </xf>
    <xf numFmtId="43" fontId="28" fillId="2" borderId="41" xfId="17" applyFont="1" applyFill="1" applyBorder="1" applyAlignment="1" applyProtection="1">
      <alignment horizontal="right" vertical="center"/>
      <protection hidden="1"/>
    </xf>
    <xf numFmtId="4" fontId="28" fillId="2" borderId="41" xfId="0" applyNumberFormat="1" applyFont="1" applyFill="1" applyBorder="1" applyAlignment="1" applyProtection="1">
      <alignment horizontal="right" vertical="center"/>
      <protection hidden="1"/>
    </xf>
    <xf numFmtId="0" fontId="29" fillId="2" borderId="42" xfId="0"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horizontal="right" vertical="center"/>
      <protection hidden="1"/>
    </xf>
    <xf numFmtId="4" fontId="28" fillId="12" borderId="41" xfId="0" applyNumberFormat="1" applyFont="1" applyFill="1" applyBorder="1" applyAlignment="1" applyProtection="1">
      <alignment horizontal="right" vertical="center"/>
      <protection hidden="1"/>
    </xf>
    <xf numFmtId="0" fontId="28" fillId="2" borderId="43" xfId="0" quotePrefix="1" applyFont="1" applyFill="1" applyBorder="1" applyAlignment="1" applyProtection="1">
      <alignment horizontal="left" vertical="center"/>
      <protection hidden="1"/>
    </xf>
    <xf numFmtId="0" fontId="57" fillId="0" borderId="0" xfId="0" applyFont="1" applyAlignment="1" applyProtection="1">
      <alignment horizontal="left" vertical="center"/>
      <protection hidden="1"/>
    </xf>
    <xf numFmtId="0" fontId="57" fillId="2" borderId="0" xfId="0" quotePrefix="1" applyFont="1" applyFill="1" applyBorder="1" applyAlignment="1" applyProtection="1">
      <alignment horizontal="left" vertical="center"/>
      <protection hidden="1"/>
    </xf>
    <xf numFmtId="0" fontId="17" fillId="12" borderId="0" xfId="0" applyFont="1" applyFill="1" applyBorder="1" applyAlignment="1" applyProtection="1">
      <alignment vertical="top"/>
      <protection hidden="1"/>
    </xf>
    <xf numFmtId="4" fontId="28" fillId="0" borderId="42" xfId="0" applyNumberFormat="1" applyFont="1" applyBorder="1" applyAlignment="1" applyProtection="1">
      <alignment vertical="center" wrapText="1"/>
      <protection hidden="1"/>
    </xf>
    <xf numFmtId="0" fontId="51" fillId="0" borderId="0" xfId="0" applyFont="1" applyAlignment="1" applyProtection="1">
      <alignment vertical="center"/>
      <protection hidden="1"/>
    </xf>
    <xf numFmtId="37" fontId="28" fillId="12" borderId="3" xfId="23" quotePrefix="1" applyNumberFormat="1" applyFont="1" applyFill="1" applyBorder="1" applyAlignment="1" applyProtection="1">
      <alignment horizontal="left"/>
    </xf>
    <xf numFmtId="37" fontId="28" fillId="12" borderId="4" xfId="23" quotePrefix="1" applyNumberFormat="1" applyFont="1" applyFill="1" applyBorder="1" applyAlignment="1" applyProtection="1">
      <alignment horizontal="left"/>
    </xf>
    <xf numFmtId="37" fontId="28" fillId="12" borderId="12" xfId="23" applyNumberFormat="1" applyFont="1" applyFill="1" applyBorder="1" applyProtection="1"/>
    <xf numFmtId="37" fontId="28" fillId="12" borderId="4" xfId="23" applyNumberFormat="1" applyFont="1" applyFill="1" applyBorder="1" applyProtection="1"/>
    <xf numFmtId="37" fontId="28" fillId="12" borderId="12" xfId="23" applyNumberFormat="1" applyFont="1" applyFill="1" applyBorder="1" applyAlignment="1" applyProtection="1">
      <alignment horizontal="left" indent="1"/>
    </xf>
    <xf numFmtId="37" fontId="28" fillId="12" borderId="12" xfId="23" quotePrefix="1" applyNumberFormat="1" applyFont="1" applyFill="1" applyBorder="1" applyAlignment="1" applyProtection="1">
      <alignment horizontal="left"/>
    </xf>
    <xf numFmtId="37" fontId="28" fillId="12" borderId="3" xfId="23" applyNumberFormat="1" applyFont="1" applyFill="1" applyBorder="1" applyProtection="1"/>
    <xf numFmtId="37" fontId="28" fillId="12" borderId="15" xfId="23" applyNumberFormat="1" applyFont="1" applyFill="1" applyBorder="1" applyProtection="1"/>
    <xf numFmtId="4" fontId="17" fillId="26" borderId="0" xfId="21" applyNumberFormat="1" applyFill="1" applyBorder="1"/>
    <xf numFmtId="37" fontId="72" fillId="2" borderId="10" xfId="23" applyNumberFormat="1" applyFont="1" applyFill="1" applyBorder="1" applyAlignment="1" applyProtection="1">
      <alignment wrapText="1"/>
    </xf>
    <xf numFmtId="0" fontId="43" fillId="2" borderId="83" xfId="21" applyFont="1" applyFill="1" applyBorder="1" applyAlignment="1">
      <alignment horizontal="center"/>
    </xf>
    <xf numFmtId="0" fontId="17" fillId="2" borderId="84" xfId="21" applyFill="1" applyBorder="1"/>
    <xf numFmtId="0" fontId="43" fillId="2" borderId="84" xfId="21" applyFont="1" applyFill="1" applyBorder="1" applyAlignment="1">
      <alignment horizontal="center"/>
    </xf>
    <xf numFmtId="0" fontId="17" fillId="2" borderId="85" xfId="21" quotePrefix="1" applyFill="1" applyBorder="1" applyAlignment="1">
      <alignment horizontal="left"/>
    </xf>
    <xf numFmtId="37" fontId="71" fillId="25" borderId="3" xfId="23" applyNumberFormat="1" applyFont="1" applyFill="1" applyBorder="1" applyAlignment="1" applyProtection="1">
      <alignment vertical="center" wrapText="1"/>
    </xf>
    <xf numFmtId="37" fontId="71" fillId="25" borderId="4" xfId="23" applyNumberFormat="1" applyFont="1" applyFill="1" applyBorder="1" applyAlignment="1" applyProtection="1">
      <alignment vertical="center" wrapText="1"/>
    </xf>
    <xf numFmtId="37" fontId="71" fillId="25" borderId="12" xfId="23" applyNumberFormat="1" applyFont="1" applyFill="1" applyBorder="1" applyAlignment="1" applyProtection="1">
      <alignment vertical="center" wrapText="1"/>
    </xf>
    <xf numFmtId="49" fontId="72" fillId="25" borderId="16" xfId="21" applyNumberFormat="1" applyFont="1" applyFill="1" applyBorder="1" applyAlignment="1">
      <alignment horizontal="center" vertical="center" wrapText="1"/>
    </xf>
    <xf numFmtId="4" fontId="17" fillId="12" borderId="5" xfId="21" applyNumberFormat="1" applyFill="1" applyBorder="1"/>
    <xf numFmtId="4" fontId="17" fillId="12" borderId="6" xfId="21" applyNumberFormat="1" applyFill="1" applyBorder="1"/>
    <xf numFmtId="4" fontId="17" fillId="12" borderId="3" xfId="21" applyNumberFormat="1" applyFill="1" applyBorder="1"/>
    <xf numFmtId="4" fontId="17" fillId="12" borderId="7" xfId="21" applyNumberFormat="1" applyFill="1" applyBorder="1"/>
    <xf numFmtId="4" fontId="17" fillId="12" borderId="0" xfId="21" applyNumberFormat="1" applyFill="1" applyBorder="1"/>
    <xf numFmtId="4" fontId="17" fillId="12" borderId="4" xfId="21" applyNumberFormat="1" applyFill="1" applyBorder="1"/>
    <xf numFmtId="4" fontId="17" fillId="12" borderId="11" xfId="21" applyNumberFormat="1" applyFill="1" applyBorder="1"/>
    <xf numFmtId="4" fontId="17" fillId="12" borderId="13" xfId="21" applyNumberFormat="1" applyFill="1" applyBorder="1"/>
    <xf numFmtId="4" fontId="17" fillId="12" borderId="12" xfId="21" applyNumberFormat="1" applyFill="1" applyBorder="1"/>
    <xf numFmtId="165" fontId="17" fillId="12" borderId="13" xfId="21" applyNumberFormat="1" applyFill="1" applyBorder="1"/>
    <xf numFmtId="4" fontId="17" fillId="12" borderId="8" xfId="21" applyNumberFormat="1" applyFill="1" applyBorder="1"/>
    <xf numFmtId="4" fontId="17" fillId="12" borderId="9" xfId="21" applyNumberFormat="1" applyFill="1" applyBorder="1"/>
    <xf numFmtId="0" fontId="72" fillId="2" borderId="8" xfId="21" applyFont="1" applyFill="1" applyBorder="1" applyAlignment="1">
      <alignment horizontal="left" vertical="center"/>
    </xf>
    <xf numFmtId="0" fontId="72" fillId="0" borderId="9" xfId="21" applyFont="1" applyBorder="1" applyAlignment="1">
      <alignment vertical="center"/>
    </xf>
    <xf numFmtId="10" fontId="72" fillId="0" borderId="15" xfId="21" applyNumberFormat="1" applyFont="1" applyBorder="1" applyAlignment="1">
      <alignment vertical="center"/>
    </xf>
    <xf numFmtId="4" fontId="17" fillId="2" borderId="2" xfId="21" applyNumberFormat="1" applyFill="1" applyBorder="1"/>
    <xf numFmtId="4" fontId="17" fillId="2" borderId="88" xfId="21" applyNumberFormat="1" applyFill="1" applyBorder="1"/>
    <xf numFmtId="4" fontId="17" fillId="24" borderId="0" xfId="21" applyNumberFormat="1" applyFill="1" applyBorder="1"/>
    <xf numFmtId="2" fontId="17" fillId="24" borderId="0" xfId="21" applyNumberFormat="1" applyFill="1"/>
    <xf numFmtId="2" fontId="17" fillId="24" borderId="96" xfId="21" applyNumberFormat="1" applyFill="1" applyBorder="1"/>
    <xf numFmtId="4" fontId="28" fillId="0" borderId="45" xfId="0" applyNumberFormat="1" applyFont="1" applyFill="1" applyBorder="1" applyAlignment="1" applyProtection="1">
      <alignment horizontal="right" vertical="center"/>
      <protection hidden="1"/>
    </xf>
    <xf numFmtId="43" fontId="29" fillId="13" borderId="41" xfId="17" applyFont="1" applyFill="1" applyBorder="1" applyAlignment="1" applyProtection="1">
      <alignment horizontal="center" vertical="center" wrapText="1"/>
      <protection hidden="1"/>
    </xf>
    <xf numFmtId="43" fontId="0" fillId="0" borderId="0" xfId="0" applyNumberFormat="1"/>
    <xf numFmtId="4" fontId="54" fillId="2" borderId="0" xfId="0" applyNumberFormat="1" applyFont="1" applyFill="1" applyAlignment="1" applyProtection="1">
      <alignment vertical="center"/>
      <protection hidden="1"/>
    </xf>
    <xf numFmtId="43" fontId="29" fillId="0" borderId="57" xfId="17"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right" vertical="center"/>
      <protection hidden="1"/>
    </xf>
    <xf numFmtId="4" fontId="29" fillId="0" borderId="45" xfId="0" applyNumberFormat="1" applyFont="1" applyFill="1" applyBorder="1" applyAlignment="1" applyProtection="1">
      <alignment horizontal="right" vertical="center"/>
      <protection hidden="1"/>
    </xf>
    <xf numFmtId="43" fontId="29" fillId="0" borderId="49" xfId="17" applyNumberFormat="1" applyFont="1" applyFill="1" applyBorder="1" applyAlignment="1" applyProtection="1">
      <alignment horizontal="center" vertical="center" wrapText="1"/>
      <protection hidden="1"/>
    </xf>
    <xf numFmtId="171" fontId="29" fillId="12" borderId="48" xfId="17"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right" vertical="center" wrapText="1"/>
      <protection hidden="1"/>
    </xf>
    <xf numFmtId="2" fontId="29" fillId="0" borderId="47" xfId="0" applyNumberFormat="1" applyFont="1" applyFill="1" applyBorder="1" applyAlignment="1" applyProtection="1">
      <alignment horizontal="right" vertical="center" wrapText="1"/>
      <protection hidden="1"/>
    </xf>
    <xf numFmtId="0" fontId="50" fillId="5" borderId="69" xfId="0" quotePrefix="1" applyFont="1" applyFill="1" applyBorder="1" applyAlignment="1" applyProtection="1">
      <alignment horizontal="center" vertical="center" wrapText="1"/>
      <protection hidden="1"/>
    </xf>
    <xf numFmtId="0" fontId="51" fillId="0" borderId="0" xfId="0" applyFont="1" applyFill="1" applyAlignment="1" applyProtection="1">
      <alignment vertical="center"/>
      <protection hidden="1"/>
    </xf>
    <xf numFmtId="4" fontId="51" fillId="0" borderId="0" xfId="0" applyNumberFormat="1" applyFont="1" applyFill="1" applyBorder="1" applyAlignment="1" applyProtection="1">
      <alignment horizontal="right" vertical="center"/>
      <protection hidden="1"/>
    </xf>
    <xf numFmtId="37" fontId="71" fillId="24" borderId="3" xfId="23" applyNumberFormat="1" applyFont="1" applyFill="1" applyBorder="1" applyAlignment="1" applyProtection="1">
      <alignment vertical="center" wrapText="1"/>
    </xf>
    <xf numFmtId="37" fontId="71" fillId="24" borderId="4" xfId="23" applyNumberFormat="1" applyFont="1" applyFill="1" applyBorder="1" applyAlignment="1" applyProtection="1">
      <alignment vertical="center" wrapText="1"/>
    </xf>
    <xf numFmtId="37" fontId="71" fillId="24" borderId="12" xfId="23" applyNumberFormat="1" applyFont="1" applyFill="1" applyBorder="1" applyAlignment="1" applyProtection="1">
      <alignment vertical="center" wrapText="1"/>
    </xf>
    <xf numFmtId="49" fontId="72" fillId="24" borderId="16" xfId="21" applyNumberFormat="1" applyFont="1" applyFill="1" applyBorder="1" applyAlignment="1">
      <alignment horizontal="center" vertical="center" wrapText="1"/>
    </xf>
    <xf numFmtId="43" fontId="29" fillId="0" borderId="41" xfId="17" applyFont="1" applyFill="1" applyBorder="1" applyAlignment="1" applyProtection="1">
      <alignment horizontal="center" vertical="center" wrapText="1"/>
      <protection hidden="1"/>
    </xf>
    <xf numFmtId="4" fontId="28" fillId="27" borderId="41" xfId="0" applyNumberFormat="1" applyFont="1" applyFill="1" applyBorder="1" applyAlignment="1" applyProtection="1">
      <alignment vertical="center"/>
      <protection hidden="1"/>
    </xf>
    <xf numFmtId="0" fontId="43" fillId="0" borderId="0" xfId="0" applyFont="1" applyAlignment="1">
      <alignment horizontal="right" vertical="center"/>
    </xf>
    <xf numFmtId="0" fontId="72" fillId="0" borderId="0" xfId="0" applyFont="1" applyAlignment="1">
      <alignment horizontal="right" vertical="center"/>
    </xf>
    <xf numFmtId="43" fontId="41" fillId="0" borderId="0" xfId="17" applyFont="1" applyFill="1" applyBorder="1" applyAlignment="1">
      <alignment horizontal="center" vertical="center"/>
    </xf>
    <xf numFmtId="43" fontId="0" fillId="0" borderId="0" xfId="17" applyFont="1" applyBorder="1" applyAlignment="1">
      <alignment horizontal="center" vertical="center"/>
    </xf>
    <xf numFmtId="0" fontId="80" fillId="2" borderId="0" xfId="0" quotePrefix="1" applyFont="1" applyFill="1" applyBorder="1" applyAlignment="1" applyProtection="1">
      <alignment horizontal="left" vertical="center"/>
      <protection hidden="1"/>
    </xf>
    <xf numFmtId="166" fontId="53" fillId="2" borderId="0" xfId="24" applyFont="1" applyFill="1" applyAlignment="1" applyProtection="1">
      <alignment horizontal="center" vertical="center"/>
      <protection hidden="1"/>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10" fontId="41" fillId="14" borderId="0" xfId="0" applyNumberFormat="1" applyFont="1" applyFill="1" applyAlignment="1">
      <alignment vertical="center"/>
    </xf>
    <xf numFmtId="0" fontId="26" fillId="0" borderId="0" xfId="0" applyFont="1" applyAlignment="1">
      <alignment vertical="center"/>
    </xf>
    <xf numFmtId="43" fontId="29" fillId="0" borderId="41" xfId="17" applyNumberFormat="1" applyFont="1" applyFill="1" applyBorder="1" applyAlignment="1" applyProtection="1">
      <alignment horizontal="center" vertical="center" wrapText="1"/>
      <protection hidden="1"/>
    </xf>
    <xf numFmtId="173" fontId="28" fillId="0" borderId="0" xfId="0" applyNumberFormat="1" applyFont="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43" fontId="29" fillId="0" borderId="41" xfId="17" quotePrefix="1" applyFont="1" applyFill="1" applyBorder="1" applyAlignment="1" applyProtection="1">
      <alignment horizontal="center" vertical="center" wrapText="1"/>
      <protection hidden="1"/>
    </xf>
    <xf numFmtId="4" fontId="28" fillId="2" borderId="41" xfId="0" applyNumberFormat="1"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4" fontId="28" fillId="2" borderId="45" xfId="0" applyNumberFormat="1" applyFont="1" applyFill="1" applyBorder="1" applyAlignment="1" applyProtection="1">
      <alignment horizontal="center" vertical="center"/>
      <protection hidden="1"/>
    </xf>
    <xf numFmtId="0" fontId="81" fillId="0" borderId="0" xfId="30" applyFont="1"/>
    <xf numFmtId="0" fontId="16" fillId="0" borderId="0" xfId="30" applyFont="1"/>
    <xf numFmtId="0" fontId="16" fillId="0" borderId="0" xfId="30" applyFont="1" applyAlignment="1">
      <alignment horizontal="center"/>
    </xf>
    <xf numFmtId="0" fontId="84" fillId="0" borderId="0" xfId="30" applyFont="1"/>
    <xf numFmtId="0" fontId="85" fillId="0" borderId="0" xfId="30" applyFont="1" applyAlignment="1">
      <alignment horizontal="center"/>
    </xf>
    <xf numFmtId="0" fontId="83" fillId="0" borderId="0" xfId="30" applyFont="1"/>
    <xf numFmtId="0" fontId="16" fillId="0" borderId="2" xfId="30" applyFont="1" applyBorder="1" applyAlignment="1">
      <alignment horizontal="center"/>
    </xf>
    <xf numFmtId="0" fontId="86" fillId="28" borderId="2" xfId="30" applyFont="1" applyFill="1" applyBorder="1"/>
    <xf numFmtId="0" fontId="86" fillId="0" borderId="2" xfId="30" applyFont="1" applyBorder="1"/>
    <xf numFmtId="0" fontId="87" fillId="0" borderId="0" xfId="30" applyFont="1"/>
    <xf numFmtId="0" fontId="86" fillId="0" borderId="0" xfId="30" applyFont="1"/>
    <xf numFmtId="0" fontId="89" fillId="0" borderId="2" xfId="30" applyFont="1" applyFill="1" applyBorder="1"/>
    <xf numFmtId="0" fontId="16" fillId="0" borderId="2" xfId="30" applyFont="1" applyFill="1" applyBorder="1" applyAlignment="1">
      <alignment horizontal="center"/>
    </xf>
    <xf numFmtId="0" fontId="16" fillId="28" borderId="2" xfId="30" applyFont="1" applyFill="1" applyBorder="1"/>
    <xf numFmtId="0" fontId="89" fillId="0" borderId="2" xfId="30" applyFont="1" applyBorder="1"/>
    <xf numFmtId="0" fontId="87" fillId="0" borderId="2" xfId="30" applyFont="1" applyFill="1" applyBorder="1" applyAlignment="1">
      <alignment horizontal="center"/>
    </xf>
    <xf numFmtId="0" fontId="16" fillId="0" borderId="2" xfId="30" applyFont="1" applyBorder="1"/>
    <xf numFmtId="0" fontId="16" fillId="0" borderId="2" xfId="30" applyFont="1" applyFill="1" applyBorder="1"/>
    <xf numFmtId="0" fontId="89" fillId="0" borderId="0" xfId="30" applyFont="1"/>
    <xf numFmtId="0" fontId="90" fillId="0" borderId="0" xfId="30" applyFont="1"/>
    <xf numFmtId="43" fontId="16" fillId="25" borderId="2" xfId="30" applyNumberFormat="1" applyFont="1" applyFill="1" applyBorder="1"/>
    <xf numFmtId="0" fontId="15" fillId="0" borderId="2" xfId="30" applyFont="1" applyBorder="1"/>
    <xf numFmtId="0" fontId="91" fillId="0" borderId="0" xfId="30" applyFont="1"/>
    <xf numFmtId="4" fontId="28" fillId="0" borderId="2" xfId="0" applyNumberFormat="1" applyFont="1" applyFill="1" applyBorder="1" applyAlignment="1" applyProtection="1">
      <alignment vertical="center"/>
      <protection hidden="1"/>
    </xf>
    <xf numFmtId="0" fontId="93" fillId="2" borderId="2" xfId="0" applyFont="1" applyFill="1" applyBorder="1" applyAlignment="1" applyProtection="1">
      <alignment vertical="center"/>
      <protection hidden="1"/>
    </xf>
    <xf numFmtId="4" fontId="93" fillId="2" borderId="2" xfId="0" applyNumberFormat="1" applyFont="1" applyFill="1" applyBorder="1" applyAlignment="1" applyProtection="1">
      <alignment vertical="center"/>
      <protection hidden="1"/>
    </xf>
    <xf numFmtId="0" fontId="16" fillId="0" borderId="0" xfId="30" applyFont="1" applyFill="1" applyAlignment="1">
      <alignment horizontal="center"/>
    </xf>
    <xf numFmtId="0" fontId="16" fillId="0" borderId="0" xfId="30" applyFont="1" applyFill="1"/>
    <xf numFmtId="0" fontId="84" fillId="30" borderId="0" xfId="30" applyFont="1" applyFill="1"/>
    <xf numFmtId="43" fontId="16" fillId="24" borderId="2" xfId="30" applyNumberFormat="1" applyFont="1" applyFill="1" applyBorder="1"/>
    <xf numFmtId="0" fontId="94" fillId="14" borderId="0" xfId="30" applyFont="1" applyFill="1"/>
    <xf numFmtId="0" fontId="0" fillId="0" borderId="0" xfId="0" applyFont="1" applyFill="1"/>
    <xf numFmtId="0" fontId="0" fillId="31" borderId="0" xfId="0" applyFont="1" applyFill="1"/>
    <xf numFmtId="0" fontId="16" fillId="25" borderId="2" xfId="31" applyNumberFormat="1" applyFont="1" applyFill="1" applyBorder="1"/>
    <xf numFmtId="0" fontId="16" fillId="24" borderId="2" xfId="30" applyFont="1" applyFill="1" applyBorder="1" applyAlignment="1">
      <alignment horizontal="center"/>
    </xf>
    <xf numFmtId="43" fontId="96" fillId="0" borderId="0" xfId="17" applyFont="1" applyFill="1" applyAlignment="1">
      <alignment horizontal="left" vertical="center"/>
    </xf>
    <xf numFmtId="0" fontId="16" fillId="25" borderId="2" xfId="30" applyFont="1" applyFill="1" applyBorder="1" applyAlignment="1">
      <alignment horizontal="center"/>
    </xf>
    <xf numFmtId="0" fontId="0" fillId="24" borderId="0" xfId="0" applyFont="1" applyFill="1"/>
    <xf numFmtId="0" fontId="16" fillId="30" borderId="2" xfId="30" applyFont="1" applyFill="1" applyBorder="1" applyAlignment="1">
      <alignment horizontal="center"/>
    </xf>
    <xf numFmtId="43" fontId="16" fillId="30" borderId="2" xfId="30" applyNumberFormat="1" applyFont="1" applyFill="1" applyBorder="1" applyAlignment="1">
      <alignment horizontal="center"/>
    </xf>
    <xf numFmtId="0" fontId="16" fillId="30" borderId="2" xfId="30" applyFont="1" applyFill="1" applyBorder="1"/>
    <xf numFmtId="43" fontId="16" fillId="0" borderId="2" xfId="30" applyNumberFormat="1" applyFont="1" applyFill="1" applyBorder="1"/>
    <xf numFmtId="4" fontId="16" fillId="25" borderId="2" xfId="30" applyNumberFormat="1" applyFont="1" applyFill="1" applyBorder="1"/>
    <xf numFmtId="4" fontId="16" fillId="25" borderId="102" xfId="30" applyNumberFormat="1" applyFont="1" applyFill="1" applyBorder="1"/>
    <xf numFmtId="0" fontId="16" fillId="25" borderId="2" xfId="30" applyFont="1" applyFill="1" applyBorder="1"/>
    <xf numFmtId="0" fontId="16" fillId="14" borderId="2" xfId="30" applyFont="1" applyFill="1" applyBorder="1" applyAlignment="1">
      <alignment horizontal="center"/>
    </xf>
    <xf numFmtId="0" fontId="16" fillId="14" borderId="2" xfId="30" applyFont="1" applyFill="1" applyBorder="1" applyAlignment="1">
      <alignment horizontal="left"/>
    </xf>
    <xf numFmtId="0" fontId="14" fillId="0" borderId="0" xfId="30" applyFont="1"/>
    <xf numFmtId="0" fontId="13" fillId="14" borderId="0" xfId="30" applyFont="1" applyFill="1" applyAlignment="1">
      <alignment horizontal="center"/>
    </xf>
    <xf numFmtId="0" fontId="12" fillId="0" borderId="0" xfId="30" applyFont="1"/>
    <xf numFmtId="0" fontId="12" fillId="0" borderId="0" xfId="30" applyFont="1" applyFill="1" applyAlignment="1">
      <alignment horizontal="center"/>
    </xf>
    <xf numFmtId="167" fontId="41" fillId="12" borderId="0" xfId="17" applyNumberFormat="1" applyFont="1" applyFill="1" applyBorder="1" applyAlignment="1" applyProtection="1">
      <alignment horizontal="center" vertical="center"/>
      <protection hidden="1"/>
    </xf>
    <xf numFmtId="0" fontId="11" fillId="0" borderId="0" xfId="30" applyFont="1"/>
    <xf numFmtId="43" fontId="11" fillId="0" borderId="2" xfId="30" applyNumberFormat="1" applyFont="1" applyFill="1" applyBorder="1"/>
    <xf numFmtId="43" fontId="89" fillId="0" borderId="2" xfId="30" applyNumberFormat="1" applyFont="1" applyFill="1" applyBorder="1"/>
    <xf numFmtId="43" fontId="16" fillId="0" borderId="0" xfId="30" applyNumberFormat="1" applyFont="1"/>
    <xf numFmtId="0" fontId="10" fillId="0" borderId="0" xfId="30" applyFont="1"/>
    <xf numFmtId="43" fontId="12" fillId="0" borderId="0" xfId="30" applyNumberFormat="1" applyFont="1"/>
    <xf numFmtId="8" fontId="91" fillId="0" borderId="0" xfId="30" applyNumberFormat="1" applyFont="1"/>
    <xf numFmtId="4" fontId="28" fillId="0" borderId="0" xfId="0" applyNumberFormat="1" applyFont="1" applyAlignment="1" applyProtection="1">
      <alignment vertical="center"/>
      <protection hidden="1"/>
    </xf>
    <xf numFmtId="0" fontId="16" fillId="0" borderId="2" xfId="30" applyFont="1" applyBorder="1" applyAlignment="1">
      <alignment horizontal="left"/>
    </xf>
    <xf numFmtId="0" fontId="11" fillId="14" borderId="0" xfId="30" applyFont="1" applyFill="1"/>
    <xf numFmtId="0" fontId="16" fillId="14" borderId="0" xfId="30" applyFont="1" applyFill="1" applyBorder="1" applyAlignment="1">
      <alignment horizontal="center"/>
    </xf>
    <xf numFmtId="43" fontId="16" fillId="0" borderId="0" xfId="30" applyNumberFormat="1" applyFont="1" applyFill="1" applyBorder="1"/>
    <xf numFmtId="0" fontId="89" fillId="0" borderId="105" xfId="30" applyFont="1" applyFill="1" applyBorder="1"/>
    <xf numFmtId="0" fontId="9" fillId="0" borderId="0" xfId="30" applyFont="1"/>
    <xf numFmtId="10" fontId="28" fillId="14" borderId="0" xfId="25" applyNumberFormat="1" applyFont="1" applyFill="1" applyAlignment="1" applyProtection="1">
      <alignment vertical="center"/>
      <protection hidden="1"/>
    </xf>
    <xf numFmtId="0" fontId="57" fillId="0" borderId="0" xfId="0" applyFont="1" applyBorder="1" applyAlignment="1" applyProtection="1">
      <alignment horizontal="justify" vertical="top" wrapText="1"/>
      <protection hidden="1"/>
    </xf>
    <xf numFmtId="0" fontId="16" fillId="0" borderId="2" xfId="30" applyFont="1" applyBorder="1" applyAlignment="1">
      <alignment horizontal="left"/>
    </xf>
    <xf numFmtId="0" fontId="57" fillId="2" borderId="0" xfId="0" applyFont="1" applyFill="1" applyAlignment="1" applyProtection="1">
      <alignment horizontal="center" vertical="center"/>
      <protection hidden="1"/>
    </xf>
    <xf numFmtId="0" fontId="49" fillId="2" borderId="0" xfId="0" quotePrefix="1" applyFont="1" applyFill="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57" fillId="0" borderId="0" xfId="0" applyFont="1" applyBorder="1" applyAlignment="1" applyProtection="1">
      <alignment horizontal="center" vertical="top"/>
      <protection hidden="1"/>
    </xf>
    <xf numFmtId="0" fontId="57" fillId="0" borderId="0" xfId="0" applyFont="1" applyBorder="1" applyAlignment="1" applyProtection="1">
      <alignment horizontal="center" vertical="top" wrapText="1"/>
      <protection hidden="1"/>
    </xf>
    <xf numFmtId="0" fontId="28" fillId="0" borderId="0" xfId="0" applyFont="1" applyFill="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49" fillId="0" borderId="0" xfId="0" applyFont="1" applyFill="1" applyAlignment="1" applyProtection="1">
      <alignment horizontal="center" vertical="center"/>
      <protection hidden="1"/>
    </xf>
    <xf numFmtId="0" fontId="49" fillId="0" borderId="0" xfId="0" quotePrefix="1" applyFont="1" applyFill="1" applyAlignment="1" applyProtection="1">
      <alignment horizontal="center" vertical="center"/>
      <protection hidden="1"/>
    </xf>
    <xf numFmtId="0" fontId="16" fillId="0" borderId="0" xfId="30" applyFont="1" applyBorder="1" applyAlignment="1">
      <alignment horizontal="center"/>
    </xf>
    <xf numFmtId="0" fontId="16" fillId="0" borderId="0" xfId="30" applyFont="1" applyBorder="1" applyAlignment="1">
      <alignment horizontal="left"/>
    </xf>
    <xf numFmtId="0" fontId="99" fillId="0" borderId="0" xfId="0" applyFont="1"/>
    <xf numFmtId="43" fontId="29" fillId="0" borderId="107" xfId="17" applyFont="1" applyFill="1" applyBorder="1" applyAlignment="1" applyProtection="1">
      <alignment horizontal="center" vertical="center" wrapText="1"/>
      <protection hidden="1"/>
    </xf>
    <xf numFmtId="2" fontId="52" fillId="0" borderId="107" xfId="0" applyNumberFormat="1" applyFont="1" applyFill="1" applyBorder="1" applyAlignment="1" applyProtection="1">
      <alignment horizontal="right" vertical="center" wrapText="1"/>
      <protection hidden="1"/>
    </xf>
    <xf numFmtId="43" fontId="29" fillId="0" borderId="107" xfId="17" applyFont="1" applyFill="1" applyBorder="1" applyAlignment="1" applyProtection="1">
      <alignment vertical="center" wrapText="1"/>
      <protection hidden="1"/>
    </xf>
    <xf numFmtId="2" fontId="52" fillId="0" borderId="106" xfId="0" applyNumberFormat="1" applyFont="1" applyFill="1" applyBorder="1" applyAlignment="1" applyProtection="1">
      <alignment horizontal="right" vertical="center" wrapText="1"/>
      <protection hidden="1"/>
    </xf>
    <xf numFmtId="43" fontId="29" fillId="12" borderId="107" xfId="17" applyFont="1" applyFill="1" applyBorder="1" applyAlignment="1" applyProtection="1">
      <alignment horizontal="center" vertical="center" wrapText="1"/>
      <protection hidden="1"/>
    </xf>
    <xf numFmtId="2" fontId="29" fillId="0" borderId="107" xfId="0" applyNumberFormat="1" applyFont="1" applyFill="1" applyBorder="1" applyAlignment="1" applyProtection="1">
      <alignment horizontal="center" vertical="center" wrapText="1"/>
      <protection hidden="1"/>
    </xf>
    <xf numFmtId="2" fontId="28" fillId="0" borderId="107" xfId="0" applyNumberFormat="1" applyFont="1" applyFill="1" applyBorder="1" applyAlignment="1" applyProtection="1">
      <alignment horizontal="center" vertical="center" wrapText="1"/>
      <protection hidden="1"/>
    </xf>
    <xf numFmtId="2" fontId="33" fillId="0" borderId="107" xfId="0" applyNumberFormat="1" applyFont="1" applyFill="1" applyBorder="1" applyAlignment="1" applyProtection="1">
      <alignment horizontal="center" vertical="center" wrapText="1"/>
      <protection hidden="1"/>
    </xf>
    <xf numFmtId="2" fontId="52" fillId="0" borderId="107" xfId="0" applyNumberFormat="1" applyFont="1" applyFill="1" applyBorder="1" applyAlignment="1" applyProtection="1">
      <alignment horizontal="center" vertical="center" wrapText="1"/>
      <protection hidden="1"/>
    </xf>
    <xf numFmtId="43" fontId="29" fillId="12" borderId="109" xfId="17" applyFont="1" applyFill="1" applyBorder="1" applyAlignment="1" applyProtection="1">
      <alignment horizontal="center" vertical="center" wrapText="1"/>
      <protection hidden="1"/>
    </xf>
    <xf numFmtId="2" fontId="52" fillId="0" borderId="109" xfId="0" applyNumberFormat="1" applyFont="1" applyFill="1" applyBorder="1" applyAlignment="1" applyProtection="1">
      <alignment horizontal="right" vertical="center" wrapText="1"/>
      <protection hidden="1"/>
    </xf>
    <xf numFmtId="2" fontId="29" fillId="0" borderId="109" xfId="0" applyNumberFormat="1" applyFont="1" applyFill="1" applyBorder="1" applyAlignment="1" applyProtection="1">
      <alignment horizontal="center" vertical="center" wrapText="1"/>
      <protection hidden="1"/>
    </xf>
    <xf numFmtId="2" fontId="28" fillId="0" borderId="109" xfId="0" applyNumberFormat="1" applyFont="1" applyFill="1" applyBorder="1" applyAlignment="1" applyProtection="1">
      <alignment horizontal="center" vertical="center" wrapText="1"/>
      <protection hidden="1"/>
    </xf>
    <xf numFmtId="2" fontId="33" fillId="0" borderId="109" xfId="0" applyNumberFormat="1" applyFont="1" applyFill="1" applyBorder="1" applyAlignment="1" applyProtection="1">
      <alignment horizontal="center" vertical="center" wrapText="1"/>
      <protection hidden="1"/>
    </xf>
    <xf numFmtId="2" fontId="52" fillId="0" borderId="109" xfId="0" applyNumberFormat="1" applyFont="1" applyFill="1" applyBorder="1" applyAlignment="1" applyProtection="1">
      <alignment horizontal="center" vertical="center" wrapText="1"/>
      <protection hidden="1"/>
    </xf>
    <xf numFmtId="2" fontId="52" fillId="0" borderId="110" xfId="0" applyNumberFormat="1" applyFont="1" applyFill="1" applyBorder="1" applyAlignment="1" applyProtection="1">
      <alignment horizontal="right" vertical="center" wrapText="1"/>
      <protection hidden="1"/>
    </xf>
    <xf numFmtId="4" fontId="28" fillId="0" borderId="61" xfId="0" applyNumberFormat="1" applyFont="1" applyFill="1" applyBorder="1" applyAlignment="1" applyProtection="1">
      <alignment horizontal="right" vertical="center"/>
      <protection hidden="1"/>
    </xf>
    <xf numFmtId="4" fontId="29" fillId="0" borderId="61" xfId="0" applyNumberFormat="1" applyFont="1" applyFill="1" applyBorder="1" applyAlignment="1" applyProtection="1">
      <alignment horizontal="right" vertical="center"/>
      <protection hidden="1"/>
    </xf>
    <xf numFmtId="4" fontId="28" fillId="2" borderId="61" xfId="0" applyNumberFormat="1" applyFont="1" applyFill="1" applyBorder="1" applyAlignment="1" applyProtection="1">
      <alignment horizontal="center" vertical="center"/>
      <protection hidden="1"/>
    </xf>
    <xf numFmtId="4" fontId="28" fillId="2" borderId="62" xfId="0" applyNumberFormat="1" applyFont="1" applyFill="1" applyBorder="1" applyAlignment="1" applyProtection="1">
      <alignment horizontal="right" vertical="center"/>
      <protection hidden="1"/>
    </xf>
    <xf numFmtId="0" fontId="50" fillId="5" borderId="107" xfId="0" quotePrefix="1" applyFont="1" applyFill="1" applyBorder="1" applyAlignment="1" applyProtection="1">
      <alignment horizontal="center" vertical="center" wrapText="1"/>
      <protection hidden="1"/>
    </xf>
    <xf numFmtId="9" fontId="50" fillId="5" borderId="107" xfId="0" quotePrefix="1" applyNumberFormat="1" applyFont="1" applyFill="1" applyBorder="1" applyAlignment="1" applyProtection="1">
      <alignment horizontal="center" vertical="center" wrapText="1"/>
      <protection hidden="1"/>
    </xf>
    <xf numFmtId="43" fontId="29" fillId="0" borderId="107" xfId="17" applyFont="1" applyFill="1" applyBorder="1" applyAlignment="1" applyProtection="1">
      <alignment horizontal="right" vertical="center" wrapText="1"/>
      <protection hidden="1"/>
    </xf>
    <xf numFmtId="43" fontId="30" fillId="0" borderId="107" xfId="17" applyFont="1" applyFill="1" applyBorder="1" applyAlignment="1" applyProtection="1">
      <alignment vertical="center" wrapText="1"/>
      <protection hidden="1"/>
    </xf>
    <xf numFmtId="2" fontId="29" fillId="0" borderId="107" xfId="0" quotePrefix="1" applyNumberFormat="1" applyFont="1" applyFill="1" applyBorder="1" applyAlignment="1" applyProtection="1">
      <alignment horizontal="right" vertical="center" wrapText="1"/>
      <protection hidden="1"/>
    </xf>
    <xf numFmtId="43" fontId="29" fillId="0" borderId="106" xfId="17" applyFont="1" applyFill="1" applyBorder="1" applyAlignment="1" applyProtection="1">
      <alignment horizontal="right" vertical="center" wrapText="1"/>
      <protection hidden="1"/>
    </xf>
    <xf numFmtId="0" fontId="50" fillId="32" borderId="45" xfId="0" quotePrefix="1" applyFont="1" applyFill="1" applyBorder="1" applyAlignment="1" applyProtection="1">
      <alignment horizontal="center" vertical="center" wrapText="1"/>
      <protection hidden="1"/>
    </xf>
    <xf numFmtId="9" fontId="50" fillId="32" borderId="45" xfId="0" quotePrefix="1"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43" fontId="29" fillId="0" borderId="111" xfId="17" applyFont="1" applyFill="1" applyBorder="1" applyAlignment="1" applyProtection="1">
      <alignment vertical="center" wrapText="1"/>
      <protection hidden="1"/>
    </xf>
    <xf numFmtId="43" fontId="29" fillId="0" borderId="111" xfId="17" applyFont="1" applyFill="1" applyBorder="1" applyAlignment="1" applyProtection="1">
      <alignment horizontal="center" vertical="center" wrapText="1"/>
      <protection hidden="1"/>
    </xf>
    <xf numFmtId="43" fontId="29" fillId="0" borderId="111" xfId="17" applyFont="1" applyFill="1" applyBorder="1" applyAlignment="1" applyProtection="1">
      <alignment horizontal="right" vertical="center" wrapText="1"/>
      <protection hidden="1"/>
    </xf>
    <xf numFmtId="43" fontId="30" fillId="0" borderId="111" xfId="17" applyFont="1" applyFill="1" applyBorder="1" applyAlignment="1" applyProtection="1">
      <alignment vertical="center" wrapText="1"/>
      <protection hidden="1"/>
    </xf>
    <xf numFmtId="2" fontId="29" fillId="0" borderId="111" xfId="0" quotePrefix="1" applyNumberFormat="1" applyFont="1" applyFill="1" applyBorder="1" applyAlignment="1" applyProtection="1">
      <alignment horizontal="right" vertical="center" wrapText="1"/>
      <protection hidden="1"/>
    </xf>
    <xf numFmtId="43" fontId="29" fillId="0" borderId="73" xfId="17" applyFont="1" applyFill="1" applyBorder="1" applyAlignment="1" applyProtection="1">
      <alignment vertical="center" wrapText="1"/>
      <protection hidden="1"/>
    </xf>
    <xf numFmtId="4" fontId="28" fillId="23" borderId="61" xfId="0" applyNumberFormat="1" applyFont="1" applyFill="1" applyBorder="1" applyAlignment="1" applyProtection="1">
      <alignment vertical="center"/>
      <protection hidden="1"/>
    </xf>
    <xf numFmtId="4" fontId="28" fillId="12" borderId="61" xfId="0" applyNumberFormat="1" applyFont="1" applyFill="1" applyBorder="1" applyAlignment="1" applyProtection="1">
      <alignment vertical="center"/>
      <protection hidden="1"/>
    </xf>
    <xf numFmtId="4" fontId="28" fillId="0" borderId="61" xfId="0" applyNumberFormat="1" applyFont="1" applyFill="1" applyBorder="1" applyAlignment="1" applyProtection="1">
      <alignment vertical="center"/>
      <protection hidden="1"/>
    </xf>
    <xf numFmtId="4" fontId="28" fillId="2" borderId="61" xfId="0" applyNumberFormat="1" applyFont="1" applyFill="1" applyBorder="1" applyAlignment="1" applyProtection="1">
      <alignment vertical="center"/>
      <protection hidden="1"/>
    </xf>
    <xf numFmtId="4" fontId="53" fillId="5" borderId="61" xfId="0" applyNumberFormat="1" applyFont="1" applyFill="1" applyBorder="1" applyAlignment="1" applyProtection="1">
      <alignment vertical="center"/>
      <protection hidden="1"/>
    </xf>
    <xf numFmtId="4" fontId="28" fillId="0" borderId="61" xfId="0" applyNumberFormat="1" applyFont="1" applyFill="1" applyBorder="1" applyAlignment="1" applyProtection="1">
      <alignment horizontal="center" vertical="center"/>
      <protection hidden="1"/>
    </xf>
    <xf numFmtId="0" fontId="8" fillId="14" borderId="0" xfId="30" applyFont="1" applyFill="1"/>
    <xf numFmtId="0" fontId="89" fillId="14" borderId="0" xfId="30" applyFont="1" applyFill="1" applyBorder="1" applyAlignment="1">
      <alignment horizontal="center"/>
    </xf>
    <xf numFmtId="0" fontId="89" fillId="0" borderId="0" xfId="30" applyFont="1" applyBorder="1" applyAlignment="1">
      <alignment horizontal="center"/>
    </xf>
    <xf numFmtId="0" fontId="89" fillId="0" borderId="0" xfId="30" applyFont="1" applyBorder="1" applyAlignment="1">
      <alignment horizontal="left"/>
    </xf>
    <xf numFmtId="43" fontId="89" fillId="0" borderId="0" xfId="30" applyNumberFormat="1" applyFont="1" applyFill="1" applyBorder="1"/>
    <xf numFmtId="0" fontId="16" fillId="0" borderId="2" xfId="30" applyFont="1" applyBorder="1" applyAlignment="1">
      <alignment horizontal="left"/>
    </xf>
    <xf numFmtId="4" fontId="28" fillId="27" borderId="41" xfId="0" applyNumberFormat="1" applyFont="1" applyFill="1" applyBorder="1" applyAlignment="1" applyProtection="1">
      <alignment horizontal="center" vertical="center"/>
      <protection hidden="1"/>
    </xf>
    <xf numFmtId="43" fontId="51" fillId="0" borderId="0" xfId="0" applyNumberFormat="1" applyFont="1" applyAlignment="1" applyProtection="1">
      <alignment vertical="center"/>
      <protection hidden="1"/>
    </xf>
    <xf numFmtId="43" fontId="28" fillId="2" borderId="0" xfId="0" applyNumberFormat="1" applyFont="1" applyFill="1" applyAlignment="1" applyProtection="1">
      <alignment vertical="center"/>
      <protection hidden="1"/>
    </xf>
    <xf numFmtId="9" fontId="28" fillId="0" borderId="0" xfId="25" applyFont="1" applyAlignment="1" applyProtection="1">
      <alignment vertical="center"/>
      <protection hidden="1"/>
    </xf>
    <xf numFmtId="9" fontId="51" fillId="0" borderId="0" xfId="25" applyFont="1" applyAlignment="1" applyProtection="1">
      <alignment vertical="center"/>
      <protection hidden="1"/>
    </xf>
    <xf numFmtId="164" fontId="28" fillId="0" borderId="0" xfId="0" applyNumberFormat="1" applyFont="1" applyFill="1" applyBorder="1" applyAlignment="1" applyProtection="1">
      <alignment vertical="center"/>
      <protection hidden="1"/>
    </xf>
    <xf numFmtId="43" fontId="28" fillId="0" borderId="0" xfId="0" applyNumberFormat="1" applyFont="1" applyFill="1" applyBorder="1" applyAlignment="1" applyProtection="1">
      <alignment vertical="center"/>
      <protection hidden="1"/>
    </xf>
    <xf numFmtId="174" fontId="28" fillId="0" borderId="0" xfId="0" applyNumberFormat="1" applyFont="1" applyFill="1" applyBorder="1" applyAlignment="1" applyProtection="1">
      <alignment vertical="center"/>
      <protection hidden="1"/>
    </xf>
    <xf numFmtId="43" fontId="28" fillId="0" borderId="0" xfId="25" applyNumberFormat="1" applyFont="1" applyFill="1" applyBorder="1" applyAlignment="1" applyProtection="1">
      <alignment vertical="center"/>
      <protection hidden="1"/>
    </xf>
    <xf numFmtId="176" fontId="28" fillId="0" borderId="0" xfId="25" applyNumberFormat="1" applyFont="1" applyFill="1" applyBorder="1" applyAlignment="1" applyProtection="1">
      <alignment vertical="center"/>
      <protection hidden="1"/>
    </xf>
    <xf numFmtId="41" fontId="28" fillId="0" borderId="0" xfId="31" applyFont="1" applyFill="1" applyBorder="1" applyAlignment="1" applyProtection="1">
      <alignment vertical="center"/>
      <protection hidden="1"/>
    </xf>
    <xf numFmtId="175" fontId="28"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6" fillId="0" borderId="0" xfId="0" applyFont="1" applyAlignment="1" applyProtection="1">
      <alignment vertical="center"/>
      <protection hidden="1"/>
    </xf>
    <xf numFmtId="0" fontId="99" fillId="12" borderId="0" xfId="0" applyFont="1" applyFill="1"/>
    <xf numFmtId="0" fontId="7" fillId="0" borderId="0" xfId="30" applyFont="1"/>
    <xf numFmtId="0" fontId="89" fillId="0" borderId="0" xfId="30" applyFont="1" applyFill="1" applyBorder="1"/>
    <xf numFmtId="4" fontId="16" fillId="25" borderId="0" xfId="30" applyNumberFormat="1" applyFont="1" applyFill="1" applyBorder="1"/>
    <xf numFmtId="4" fontId="54" fillId="2" borderId="2" xfId="0" applyNumberFormat="1" applyFont="1" applyFill="1" applyBorder="1" applyAlignment="1" applyProtection="1">
      <alignment vertical="center"/>
      <protection hidden="1"/>
    </xf>
    <xf numFmtId="43" fontId="28" fillId="2" borderId="0" xfId="17" applyFont="1" applyFill="1" applyAlignment="1" applyProtection="1">
      <alignment vertical="center"/>
      <protection hidden="1"/>
    </xf>
    <xf numFmtId="9" fontId="28"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0" fontId="55" fillId="6" borderId="0" xfId="0" applyFont="1" applyFill="1" applyBorder="1" applyAlignment="1" applyProtection="1">
      <alignment vertical="center"/>
      <protection hidden="1"/>
    </xf>
    <xf numFmtId="0" fontId="55" fillId="6" borderId="60" xfId="0" applyFont="1" applyFill="1" applyBorder="1" applyAlignment="1" applyProtection="1">
      <alignment vertical="center"/>
      <protection hidden="1"/>
    </xf>
    <xf numFmtId="0" fontId="57" fillId="12" borderId="0" xfId="0" applyFont="1" applyFill="1" applyAlignment="1" applyProtection="1">
      <alignment horizontal="left" vertical="top" wrapText="1"/>
      <protection hidden="1"/>
    </xf>
    <xf numFmtId="43" fontId="28" fillId="12" borderId="0" xfId="17" applyFont="1" applyFill="1" applyBorder="1" applyAlignment="1" applyProtection="1">
      <alignment horizontal="center" vertical="center"/>
      <protection hidden="1"/>
    </xf>
    <xf numFmtId="4" fontId="93" fillId="25" borderId="2" xfId="0" applyNumberFormat="1" applyFont="1" applyFill="1" applyBorder="1" applyAlignment="1" applyProtection="1">
      <alignment vertical="center"/>
      <protection hidden="1"/>
    </xf>
    <xf numFmtId="0" fontId="28" fillId="14" borderId="0" xfId="0" applyFont="1" applyFill="1" applyAlignment="1" applyProtection="1">
      <alignment vertical="center"/>
      <protection hidden="1"/>
    </xf>
    <xf numFmtId="0" fontId="28" fillId="33" borderId="0" xfId="0" applyFont="1" applyFill="1" applyAlignment="1" applyProtection="1">
      <alignment vertical="center"/>
      <protection hidden="1"/>
    </xf>
    <xf numFmtId="43" fontId="29" fillId="0" borderId="109" xfId="17" applyFont="1" applyFill="1" applyBorder="1" applyAlignment="1" applyProtection="1">
      <alignment horizontal="center" vertical="center" wrapText="1"/>
      <protection hidden="1"/>
    </xf>
    <xf numFmtId="2" fontId="52" fillId="0" borderId="112" xfId="0" applyNumberFormat="1" applyFont="1" applyFill="1" applyBorder="1" applyAlignment="1" applyProtection="1">
      <alignment horizontal="right" vertical="center" wrapText="1"/>
      <protection hidden="1"/>
    </xf>
    <xf numFmtId="0" fontId="0" fillId="14" borderId="0" xfId="0" applyFill="1"/>
    <xf numFmtId="167" fontId="28" fillId="14" borderId="0" xfId="17" applyNumberFormat="1" applyFont="1" applyFill="1" applyBorder="1" applyAlignment="1" applyProtection="1">
      <alignment horizontal="center" vertical="center"/>
      <protection hidden="1"/>
    </xf>
    <xf numFmtId="167" fontId="28" fillId="12" borderId="0" xfId="17" applyNumberFormat="1" applyFont="1" applyFill="1" applyBorder="1" applyAlignment="1" applyProtection="1">
      <alignment horizontal="left" vertical="center"/>
      <protection hidden="1"/>
    </xf>
    <xf numFmtId="43" fontId="28" fillId="33" borderId="0" xfId="17" applyNumberFormat="1" applyFont="1" applyFill="1" applyBorder="1" applyAlignment="1" applyProtection="1">
      <alignment horizontal="center" vertical="center"/>
      <protection hidden="1"/>
    </xf>
    <xf numFmtId="0" fontId="28" fillId="24" borderId="0" xfId="0" applyFont="1" applyFill="1" applyBorder="1" applyAlignment="1" applyProtection="1">
      <alignment vertical="center"/>
      <protection hidden="1"/>
    </xf>
    <xf numFmtId="43" fontId="28" fillId="14" borderId="0" xfId="17" applyFont="1" applyFill="1" applyAlignment="1" applyProtection="1">
      <alignment vertical="center"/>
      <protection hidden="1"/>
    </xf>
    <xf numFmtId="0" fontId="51" fillId="14" borderId="0" xfId="0" applyFont="1" applyFill="1" applyAlignment="1" applyProtection="1">
      <alignment vertical="center"/>
      <protection hidden="1"/>
    </xf>
    <xf numFmtId="0" fontId="28" fillId="34" borderId="0" xfId="0" applyFont="1" applyFill="1" applyBorder="1" applyAlignment="1" applyProtection="1">
      <alignment vertical="center"/>
      <protection hidden="1"/>
    </xf>
    <xf numFmtId="43" fontId="29" fillId="35" borderId="41" xfId="17" applyNumberFormat="1" applyFont="1" applyFill="1" applyBorder="1" applyAlignment="1" applyProtection="1">
      <alignment horizontal="center" vertical="center" wrapText="1"/>
      <protection hidden="1"/>
    </xf>
    <xf numFmtId="43" fontId="29" fillId="35" borderId="41" xfId="17" applyFont="1" applyFill="1" applyBorder="1" applyAlignment="1" applyProtection="1">
      <alignment vertical="center" wrapText="1"/>
      <protection hidden="1"/>
    </xf>
    <xf numFmtId="43" fontId="29" fillId="35" borderId="41" xfId="17" applyNumberFormat="1" applyFont="1" applyFill="1" applyBorder="1" applyAlignment="1" applyProtection="1">
      <alignment vertical="center" wrapText="1"/>
      <protection hidden="1"/>
    </xf>
    <xf numFmtId="43" fontId="29" fillId="35" borderId="45" xfId="17" applyFont="1" applyFill="1" applyBorder="1" applyAlignment="1" applyProtection="1">
      <alignment horizontal="center" vertical="center" wrapText="1"/>
      <protection hidden="1"/>
    </xf>
    <xf numFmtId="43" fontId="29" fillId="35" borderId="45" xfId="17" applyFont="1" applyFill="1" applyBorder="1" applyAlignment="1" applyProtection="1">
      <alignment horizontal="right" vertical="center" wrapText="1"/>
      <protection hidden="1"/>
    </xf>
    <xf numFmtId="43" fontId="29" fillId="35" borderId="41" xfId="17" applyFont="1" applyFill="1" applyBorder="1" applyAlignment="1" applyProtection="1">
      <alignment horizontal="center" vertical="center" wrapText="1"/>
      <protection hidden="1"/>
    </xf>
    <xf numFmtId="43" fontId="29" fillId="35" borderId="45" xfId="17" applyNumberFormat="1" applyFont="1" applyFill="1" applyBorder="1" applyAlignment="1" applyProtection="1">
      <alignment horizontal="center" vertical="center" wrapText="1"/>
      <protection hidden="1"/>
    </xf>
    <xf numFmtId="43" fontId="29" fillId="35" borderId="52" xfId="17" applyFont="1" applyFill="1" applyBorder="1" applyAlignment="1" applyProtection="1">
      <alignment horizontal="right" vertical="center" wrapText="1"/>
      <protection hidden="1"/>
    </xf>
    <xf numFmtId="43" fontId="29" fillId="35" borderId="57" xfId="17" applyNumberFormat="1" applyFont="1" applyFill="1" applyBorder="1" applyAlignment="1" applyProtection="1">
      <alignment horizontal="center" vertical="center" wrapText="1"/>
      <protection hidden="1"/>
    </xf>
    <xf numFmtId="43" fontId="28" fillId="0" borderId="41" xfId="17" applyFont="1" applyFill="1" applyBorder="1" applyAlignment="1" applyProtection="1">
      <alignment horizontal="right" vertical="center"/>
      <protection hidden="1"/>
    </xf>
    <xf numFmtId="0" fontId="6" fillId="33" borderId="0" xfId="30" applyFont="1" applyFill="1"/>
    <xf numFmtId="177" fontId="93" fillId="25" borderId="2" xfId="0" applyNumberFormat="1" applyFont="1" applyFill="1" applyBorder="1" applyAlignment="1" applyProtection="1">
      <alignment vertical="center"/>
      <protection hidden="1"/>
    </xf>
    <xf numFmtId="172" fontId="107" fillId="14" borderId="0" xfId="0" applyNumberFormat="1" applyFont="1" applyFill="1" applyAlignment="1" applyProtection="1">
      <alignment vertical="center"/>
      <protection hidden="1"/>
    </xf>
    <xf numFmtId="0" fontId="25" fillId="14" borderId="0" xfId="0" applyFont="1" applyFill="1" applyAlignment="1" applyProtection="1">
      <alignment vertical="center"/>
      <protection hidden="1"/>
    </xf>
    <xf numFmtId="171" fontId="97" fillId="0" borderId="65" xfId="17" applyNumberFormat="1" applyFont="1" applyFill="1" applyBorder="1" applyAlignment="1" applyProtection="1">
      <alignment horizontal="center" vertical="center" wrapText="1"/>
      <protection hidden="1"/>
    </xf>
    <xf numFmtId="171" fontId="97"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17" fillId="0" borderId="0" xfId="0" applyFont="1"/>
    <xf numFmtId="0" fontId="17" fillId="0" borderId="0" xfId="0" applyFont="1" applyFill="1" applyBorder="1"/>
    <xf numFmtId="0" fontId="0" fillId="36" borderId="2" xfId="0" applyFill="1" applyBorder="1" applyAlignment="1">
      <alignment horizontal="center"/>
    </xf>
    <xf numFmtId="0" fontId="43"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3" fillId="0" borderId="0" xfId="0" applyFont="1"/>
    <xf numFmtId="0" fontId="43" fillId="0" borderId="115" xfId="0" applyFont="1" applyBorder="1"/>
    <xf numFmtId="0" fontId="0" fillId="0" borderId="115" xfId="0" applyBorder="1"/>
    <xf numFmtId="0" fontId="17" fillId="0" borderId="115" xfId="0" applyFont="1" applyBorder="1"/>
    <xf numFmtId="0" fontId="43" fillId="36" borderId="105" xfId="0" applyFont="1" applyFill="1" applyBorder="1" applyAlignment="1">
      <alignment vertical="center"/>
    </xf>
    <xf numFmtId="0" fontId="17" fillId="0" borderId="116" xfId="0" applyFont="1" applyBorder="1"/>
    <xf numFmtId="0" fontId="17" fillId="0" borderId="116" xfId="0" applyFont="1" applyFill="1" applyBorder="1"/>
    <xf numFmtId="0" fontId="43"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3" fillId="36" borderId="105" xfId="0" applyFont="1" applyFill="1" applyBorder="1" applyAlignment="1">
      <alignment horizontal="center" vertical="center"/>
    </xf>
    <xf numFmtId="0" fontId="0" fillId="0" borderId="116" xfId="0" applyBorder="1" applyAlignment="1">
      <alignment horizontal="center"/>
    </xf>
    <xf numFmtId="0" fontId="43" fillId="36" borderId="100" xfId="0" applyFont="1" applyFill="1" applyBorder="1" applyAlignment="1">
      <alignment horizontal="center"/>
    </xf>
    <xf numFmtId="0" fontId="43" fillId="36" borderId="114" xfId="0" applyFont="1" applyFill="1" applyBorder="1" applyAlignment="1">
      <alignment vertical="center"/>
    </xf>
    <xf numFmtId="0" fontId="17" fillId="38" borderId="116" xfId="0" applyFont="1" applyFill="1" applyBorder="1"/>
    <xf numFmtId="0" fontId="43" fillId="36" borderId="89" xfId="0" applyFont="1" applyFill="1" applyBorder="1" applyAlignment="1">
      <alignment horizontal="center"/>
    </xf>
    <xf numFmtId="0" fontId="43" fillId="36" borderId="90" xfId="0" applyFont="1" applyFill="1" applyBorder="1" applyAlignment="1">
      <alignment horizontal="center"/>
    </xf>
    <xf numFmtId="41" fontId="17"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3" fillId="36" borderId="100" xfId="0" applyFont="1" applyFill="1" applyBorder="1" applyAlignment="1">
      <alignment horizontal="right" indent="1"/>
    </xf>
    <xf numFmtId="0" fontId="43" fillId="36" borderId="105" xfId="0" applyFont="1" applyFill="1" applyBorder="1" applyAlignment="1">
      <alignment horizontal="right" indent="1"/>
    </xf>
    <xf numFmtId="2" fontId="96" fillId="0" borderId="116" xfId="0" applyNumberFormat="1" applyFont="1" applyBorder="1" applyAlignment="1">
      <alignment horizontal="center"/>
    </xf>
    <xf numFmtId="10" fontId="0" fillId="0" borderId="0" xfId="25" applyNumberFormat="1" applyFont="1"/>
    <xf numFmtId="43" fontId="54"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28" fillId="33" borderId="0" xfId="0" applyFont="1" applyFill="1" applyBorder="1" applyAlignment="1" applyProtection="1">
      <alignment vertical="center"/>
      <protection hidden="1"/>
    </xf>
    <xf numFmtId="0" fontId="5" fillId="33" borderId="0" xfId="30" applyFont="1" applyFill="1"/>
    <xf numFmtId="2" fontId="28" fillId="33" borderId="0" xfId="0" applyNumberFormat="1" applyFont="1" applyFill="1" applyAlignment="1" applyProtection="1">
      <alignment vertical="center"/>
      <protection hidden="1"/>
    </xf>
    <xf numFmtId="0" fontId="96" fillId="0" borderId="0" xfId="0" applyFont="1"/>
    <xf numFmtId="2" fontId="0" fillId="14" borderId="116" xfId="0" applyNumberFormat="1" applyFill="1" applyBorder="1" applyAlignment="1">
      <alignment horizontal="center"/>
    </xf>
    <xf numFmtId="178" fontId="76" fillId="14" borderId="0" xfId="32" applyNumberFormat="1" applyFont="1" applyFill="1" applyAlignment="1" applyProtection="1">
      <alignment vertical="center"/>
      <protection hidden="1"/>
    </xf>
    <xf numFmtId="0" fontId="28" fillId="40" borderId="0" xfId="0" applyFont="1" applyFill="1" applyBorder="1" applyAlignment="1" applyProtection="1">
      <alignment vertical="center"/>
      <protection hidden="1"/>
    </xf>
    <xf numFmtId="167" fontId="28" fillId="40" borderId="0" xfId="17" applyNumberFormat="1" applyFont="1" applyFill="1" applyBorder="1" applyAlignment="1" applyProtection="1">
      <alignment horizontal="left" vertical="center"/>
      <protection hidden="1"/>
    </xf>
    <xf numFmtId="0" fontId="28" fillId="40" borderId="0" xfId="0" applyFont="1" applyFill="1" applyBorder="1" applyAlignment="1" applyProtection="1">
      <alignment horizontal="center" vertical="center"/>
      <protection hidden="1"/>
    </xf>
    <xf numFmtId="0" fontId="4"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3" fontId="0" fillId="37" borderId="116" xfId="0" applyNumberFormat="1" applyFill="1" applyBorder="1" applyAlignment="1">
      <alignment horizontal="center"/>
    </xf>
    <xf numFmtId="0" fontId="3"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7" fillId="33" borderId="2" xfId="17" applyFont="1" applyFill="1" applyBorder="1" applyAlignment="1">
      <alignment horizontal="center" vertical="center"/>
    </xf>
    <xf numFmtId="0" fontId="0" fillId="33" borderId="0" xfId="0" applyFill="1"/>
    <xf numFmtId="0" fontId="17" fillId="33" borderId="0" xfId="0" applyFont="1" applyFill="1"/>
    <xf numFmtId="2" fontId="0" fillId="33" borderId="116" xfId="0" applyNumberFormat="1" applyFill="1" applyBorder="1" applyAlignment="1">
      <alignment horizontal="center"/>
    </xf>
    <xf numFmtId="2" fontId="17" fillId="0" borderId="116" xfId="0" applyNumberFormat="1" applyFont="1" applyFill="1" applyBorder="1" applyAlignment="1">
      <alignment horizontal="center"/>
    </xf>
    <xf numFmtId="0" fontId="0" fillId="33" borderId="2" xfId="0" applyFill="1" applyBorder="1" applyAlignment="1">
      <alignment vertical="center"/>
    </xf>
    <xf numFmtId="43" fontId="54"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7"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50" fillId="0" borderId="0" xfId="0" applyFont="1" applyFill="1" applyAlignment="1" applyProtection="1">
      <alignment horizontal="left" vertical="center"/>
      <protection hidden="1"/>
    </xf>
    <xf numFmtId="43" fontId="28" fillId="12" borderId="0" xfId="0" applyNumberFormat="1" applyFont="1" applyFill="1" applyBorder="1" applyAlignment="1" applyProtection="1">
      <alignment vertical="center"/>
      <protection hidden="1"/>
    </xf>
    <xf numFmtId="0" fontId="57" fillId="12" borderId="0" xfId="0" applyFont="1" applyFill="1" applyBorder="1" applyAlignment="1" applyProtection="1">
      <alignment horizontal="justify" vertical="top" wrapText="1"/>
      <protection hidden="1"/>
    </xf>
    <xf numFmtId="167" fontId="28" fillId="33" borderId="0" xfId="17" applyNumberFormat="1" applyFont="1" applyFill="1" applyBorder="1" applyAlignment="1" applyProtection="1">
      <alignment horizontal="center" vertical="center"/>
      <protection hidden="1"/>
    </xf>
    <xf numFmtId="179" fontId="28" fillId="2" borderId="0" xfId="0" applyNumberFormat="1" applyFont="1" applyFill="1" applyAlignment="1" applyProtection="1">
      <alignment vertical="center"/>
      <protection hidden="1"/>
    </xf>
    <xf numFmtId="0" fontId="57"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5" fillId="2" borderId="0" xfId="0" applyFont="1" applyFill="1" applyAlignment="1" applyProtection="1">
      <alignment horizontal="centerContinuous" vertical="center"/>
      <protection hidden="1"/>
    </xf>
    <xf numFmtId="0" fontId="116" fillId="0" borderId="0" xfId="0" applyFont="1"/>
    <xf numFmtId="0" fontId="57" fillId="12" borderId="0" xfId="0" applyFont="1" applyFill="1" applyBorder="1" applyAlignment="1" applyProtection="1">
      <alignment horizontal="justify" vertical="top" wrapText="1"/>
      <protection hidden="1"/>
    </xf>
    <xf numFmtId="0" fontId="57"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horizontal="justify" vertical="center" wrapText="1"/>
      <protection hidden="1"/>
    </xf>
    <xf numFmtId="0" fontId="43" fillId="12" borderId="0" xfId="0" applyFont="1" applyFill="1" applyBorder="1" applyAlignment="1" applyProtection="1">
      <alignment horizontal="left" vertical="center" wrapText="1"/>
      <protection hidden="1"/>
    </xf>
    <xf numFmtId="43" fontId="43" fillId="12" borderId="0" xfId="17" applyFont="1" applyFill="1" applyBorder="1" applyAlignment="1" applyProtection="1">
      <alignment horizontal="right"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Border="1" applyAlignment="1" applyProtection="1">
      <alignment vertical="top" wrapText="1"/>
      <protection hidden="1"/>
    </xf>
    <xf numFmtId="41" fontId="16" fillId="0" borderId="0" xfId="31" applyFont="1"/>
    <xf numFmtId="9" fontId="0" fillId="0" borderId="0" xfId="25" applyFont="1" applyAlignment="1">
      <alignment vertical="center"/>
    </xf>
    <xf numFmtId="0" fontId="2" fillId="25" borderId="0" xfId="30" applyFont="1" applyFill="1"/>
    <xf numFmtId="0" fontId="2" fillId="0" borderId="0" xfId="30" applyFont="1"/>
    <xf numFmtId="167" fontId="0" fillId="0" borderId="0" xfId="0" applyNumberFormat="1"/>
    <xf numFmtId="0" fontId="1" fillId="25" borderId="0" xfId="30" applyFont="1" applyFill="1"/>
    <xf numFmtId="43" fontId="106" fillId="33" borderId="0" xfId="17" applyNumberFormat="1" applyFont="1" applyFill="1" applyBorder="1" applyAlignment="1" applyProtection="1">
      <alignment horizontal="center" vertical="center"/>
      <protection hidden="1"/>
    </xf>
    <xf numFmtId="0" fontId="54" fillId="0" borderId="0" xfId="0" applyFont="1" applyBorder="1" applyAlignment="1" applyProtection="1">
      <alignment vertical="center"/>
      <protection hidden="1"/>
    </xf>
    <xf numFmtId="173" fontId="111" fillId="0" borderId="0" xfId="0" applyNumberFormat="1" applyFont="1" applyBorder="1" applyAlignment="1" applyProtection="1">
      <alignment vertical="center"/>
      <protection hidden="1"/>
    </xf>
    <xf numFmtId="43" fontId="29" fillId="0" borderId="65" xfId="17" applyFont="1" applyFill="1" applyBorder="1" applyAlignment="1" applyProtection="1">
      <alignment vertical="center" wrapText="1"/>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167" fontId="28" fillId="12" borderId="0" xfId="0" applyNumberFormat="1" applyFont="1" applyFill="1" applyBorder="1" applyAlignment="1" applyProtection="1">
      <alignment vertical="center"/>
      <protection hidden="1"/>
    </xf>
    <xf numFmtId="43" fontId="97" fillId="0" borderId="52" xfId="17" applyFont="1" applyFill="1" applyBorder="1" applyAlignment="1" applyProtection="1">
      <alignment horizontal="center" vertical="center" wrapText="1"/>
      <protection hidden="1"/>
    </xf>
    <xf numFmtId="43" fontId="29" fillId="0" borderId="52" xfId="17" applyFont="1" applyFill="1" applyBorder="1" applyAlignment="1" applyProtection="1">
      <alignment horizontal="center" vertical="center" wrapText="1"/>
      <protection hidden="1"/>
    </xf>
    <xf numFmtId="43" fontId="29" fillId="0" borderId="54" xfId="17" applyFont="1" applyFill="1" applyBorder="1" applyAlignment="1" applyProtection="1">
      <alignment vertical="center" wrapText="1"/>
      <protection hidden="1"/>
    </xf>
    <xf numFmtId="0" fontId="11" fillId="0" borderId="92" xfId="30" applyFont="1" applyBorder="1" applyAlignment="1">
      <alignment horizontal="center"/>
    </xf>
    <xf numFmtId="0" fontId="11" fillId="0" borderId="93" xfId="30" applyFont="1" applyBorder="1" applyAlignment="1">
      <alignment horizontal="center"/>
    </xf>
    <xf numFmtId="0" fontId="84" fillId="0" borderId="2" xfId="30" applyFont="1" applyBorder="1" applyAlignment="1">
      <alignment horizontal="left" vertical="center"/>
    </xf>
    <xf numFmtId="0" fontId="85" fillId="0" borderId="99" xfId="30" applyFont="1" applyBorder="1" applyAlignment="1">
      <alignment horizontal="center" vertical="center"/>
    </xf>
    <xf numFmtId="0" fontId="83" fillId="0" borderId="89" xfId="30" applyFont="1" applyBorder="1" applyAlignment="1">
      <alignment horizontal="left"/>
    </xf>
    <xf numFmtId="0" fontId="83" fillId="0" borderId="90" xfId="30" applyFont="1" applyBorder="1" applyAlignment="1">
      <alignment horizontal="left"/>
    </xf>
    <xf numFmtId="0" fontId="83" fillId="0" borderId="100" xfId="30" applyFont="1" applyBorder="1" applyAlignment="1">
      <alignment horizontal="left"/>
    </xf>
    <xf numFmtId="0" fontId="83" fillId="0" borderId="93" xfId="30" applyFont="1" applyBorder="1" applyAlignment="1">
      <alignment horizontal="left"/>
    </xf>
    <xf numFmtId="0" fontId="83" fillId="0" borderId="94" xfId="30" applyFont="1" applyBorder="1" applyAlignment="1">
      <alignment horizontal="left"/>
    </xf>
    <xf numFmtId="0" fontId="83" fillId="0" borderId="101" xfId="30" applyFont="1" applyBorder="1" applyAlignment="1">
      <alignment horizontal="left"/>
    </xf>
    <xf numFmtId="0" fontId="84" fillId="0" borderId="2" xfId="30" applyFont="1" applyBorder="1" applyAlignment="1">
      <alignment horizontal="center" vertical="center"/>
    </xf>
    <xf numFmtId="0" fontId="16" fillId="0" borderId="2" xfId="30" applyFont="1" applyBorder="1" applyAlignment="1">
      <alignment horizontal="left"/>
    </xf>
    <xf numFmtId="0" fontId="16" fillId="29" borderId="2" xfId="30" applyFont="1" applyFill="1" applyBorder="1" applyAlignment="1">
      <alignment horizontal="left"/>
    </xf>
    <xf numFmtId="0" fontId="16" fillId="0" borderId="102" xfId="30" applyFont="1" applyBorder="1" applyAlignment="1">
      <alignment horizontal="left"/>
    </xf>
    <xf numFmtId="0" fontId="16" fillId="0" borderId="99" xfId="30" applyFont="1" applyBorder="1" applyAlignment="1">
      <alignment horizontal="center"/>
    </xf>
    <xf numFmtId="0" fontId="16" fillId="0" borderId="103" xfId="30" applyFont="1" applyBorder="1" applyAlignment="1">
      <alignment horizontal="center"/>
    </xf>
    <xf numFmtId="0" fontId="16" fillId="0" borderId="104" xfId="30" applyFont="1" applyBorder="1" applyAlignment="1">
      <alignment horizontal="center"/>
    </xf>
    <xf numFmtId="0" fontId="16" fillId="0" borderId="99" xfId="30" applyFont="1" applyBorder="1" applyAlignment="1">
      <alignment horizontal="left"/>
    </xf>
    <xf numFmtId="0" fontId="16" fillId="0" borderId="103" xfId="30" applyFont="1" applyBorder="1" applyAlignment="1">
      <alignment horizontal="left"/>
    </xf>
    <xf numFmtId="0" fontId="16" fillId="0" borderId="104" xfId="30" applyFont="1" applyBorder="1" applyAlignment="1">
      <alignment horizontal="left"/>
    </xf>
    <xf numFmtId="0" fontId="16" fillId="28" borderId="2" xfId="30" applyFont="1" applyFill="1" applyBorder="1" applyAlignment="1">
      <alignment horizontal="left"/>
    </xf>
    <xf numFmtId="0" fontId="16" fillId="29" borderId="105" xfId="30" applyFont="1" applyFill="1" applyBorder="1" applyAlignment="1">
      <alignment horizontal="left"/>
    </xf>
    <xf numFmtId="0" fontId="16" fillId="0" borderId="2" xfId="30" applyFont="1" applyBorder="1" applyAlignment="1">
      <alignment horizont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3" fillId="36" borderId="0" xfId="0" applyFont="1" applyFill="1" applyBorder="1" applyAlignment="1">
      <alignment horizontal="center"/>
    </xf>
    <xf numFmtId="0" fontId="43" fillId="36" borderId="113" xfId="0" applyFont="1" applyFill="1" applyBorder="1" applyAlignment="1">
      <alignment horizontal="center"/>
    </xf>
    <xf numFmtId="0" fontId="43" fillId="36" borderId="2" xfId="0" applyFont="1" applyFill="1" applyBorder="1" applyAlignment="1">
      <alignment horizontal="center"/>
    </xf>
    <xf numFmtId="0" fontId="43" fillId="0" borderId="0" xfId="0" applyFont="1" applyFill="1" applyBorder="1" applyAlignment="1">
      <alignment horizontal="center"/>
    </xf>
    <xf numFmtId="0" fontId="43" fillId="36" borderId="104" xfId="0" applyFont="1" applyFill="1" applyBorder="1" applyAlignment="1">
      <alignment horizontal="center"/>
    </xf>
    <xf numFmtId="0" fontId="17" fillId="0" borderId="89" xfId="21" applyBorder="1" applyAlignment="1">
      <alignment horizontal="center"/>
    </xf>
    <xf numFmtId="0" fontId="17" fillId="0" borderId="90" xfId="21" applyBorder="1" applyAlignment="1">
      <alignment horizontal="center"/>
    </xf>
    <xf numFmtId="0" fontId="17" fillId="0" borderId="91" xfId="21" applyBorder="1" applyAlignment="1">
      <alignment horizontal="center"/>
    </xf>
    <xf numFmtId="0" fontId="17" fillId="0" borderId="92" xfId="21" applyBorder="1" applyAlignment="1">
      <alignment horizontal="center"/>
    </xf>
    <xf numFmtId="0" fontId="17" fillId="0" borderId="0" xfId="21" applyBorder="1" applyAlignment="1">
      <alignment horizontal="center"/>
    </xf>
    <xf numFmtId="0" fontId="17" fillId="0" borderId="4" xfId="21" applyBorder="1" applyAlignment="1">
      <alignment horizontal="center"/>
    </xf>
    <xf numFmtId="0" fontId="17" fillId="0" borderId="93" xfId="21" applyBorder="1" applyAlignment="1">
      <alignment horizontal="center"/>
    </xf>
    <xf numFmtId="0" fontId="17" fillId="0" borderId="94" xfId="21" applyBorder="1" applyAlignment="1">
      <alignment horizontal="center"/>
    </xf>
    <xf numFmtId="0" fontId="17" fillId="0" borderId="95" xfId="21" applyBorder="1" applyAlignment="1">
      <alignment horizontal="center"/>
    </xf>
    <xf numFmtId="0" fontId="41" fillId="2" borderId="2" xfId="21" applyFont="1" applyFill="1" applyBorder="1" applyAlignment="1">
      <alignment horizontal="center"/>
    </xf>
    <xf numFmtId="0" fontId="41" fillId="2" borderId="88" xfId="21" applyFont="1" applyFill="1" applyBorder="1" applyAlignment="1">
      <alignment horizontal="center"/>
    </xf>
    <xf numFmtId="0" fontId="17" fillId="0" borderId="97" xfId="21" applyBorder="1" applyAlignment="1">
      <alignment horizontal="center"/>
    </xf>
    <xf numFmtId="0" fontId="17" fillId="0" borderId="98" xfId="21" applyBorder="1" applyAlignment="1">
      <alignment horizontal="center"/>
    </xf>
    <xf numFmtId="0" fontId="43" fillId="24" borderId="8" xfId="21" applyFont="1" applyFill="1" applyBorder="1" applyAlignment="1">
      <alignment horizontal="center"/>
    </xf>
    <xf numFmtId="0" fontId="43" fillId="24" borderId="9" xfId="21" applyFont="1" applyFill="1" applyBorder="1" applyAlignment="1">
      <alignment horizontal="center"/>
    </xf>
    <xf numFmtId="0" fontId="43" fillId="24" borderId="15" xfId="21" applyFont="1" applyFill="1" applyBorder="1" applyAlignment="1">
      <alignment horizontal="center"/>
    </xf>
    <xf numFmtId="0" fontId="43" fillId="24" borderId="5" xfId="21" applyFont="1" applyFill="1" applyBorder="1" applyAlignment="1">
      <alignment horizontal="center" vertical="center" wrapText="1"/>
    </xf>
    <xf numFmtId="0" fontId="43" fillId="24" borderId="6" xfId="21" applyFont="1" applyFill="1" applyBorder="1" applyAlignment="1">
      <alignment horizontal="center" vertical="center" wrapText="1"/>
    </xf>
    <xf numFmtId="0" fontId="43" fillId="24" borderId="11" xfId="21" applyFont="1" applyFill="1" applyBorder="1" applyAlignment="1">
      <alignment horizontal="center" vertical="center" wrapText="1"/>
    </xf>
    <xf numFmtId="0" fontId="43" fillId="24" borderId="13" xfId="21" applyFont="1" applyFill="1" applyBorder="1" applyAlignment="1">
      <alignment horizontal="center" vertical="center" wrapText="1"/>
    </xf>
    <xf numFmtId="10" fontId="43" fillId="24" borderId="3" xfId="26" applyNumberFormat="1" applyFont="1" applyFill="1" applyBorder="1" applyAlignment="1">
      <alignment horizontal="center" vertical="center"/>
    </xf>
    <xf numFmtId="10" fontId="43" fillId="24" borderId="12" xfId="26" applyNumberFormat="1" applyFont="1" applyFill="1" applyBorder="1" applyAlignment="1">
      <alignment horizontal="center" vertical="center"/>
    </xf>
    <xf numFmtId="0" fontId="41" fillId="2" borderId="86" xfId="21" applyFont="1" applyFill="1" applyBorder="1" applyAlignment="1">
      <alignment horizontal="center"/>
    </xf>
    <xf numFmtId="0" fontId="41" fillId="2" borderId="87" xfId="21" applyFont="1" applyFill="1" applyBorder="1" applyAlignment="1">
      <alignment horizontal="center"/>
    </xf>
    <xf numFmtId="49" fontId="42" fillId="10" borderId="11" xfId="23" quotePrefix="1" applyNumberFormat="1" applyFont="1" applyFill="1" applyBorder="1" applyAlignment="1" applyProtection="1">
      <alignment horizontal="center" vertical="center" wrapText="1"/>
    </xf>
    <xf numFmtId="49" fontId="42" fillId="10" borderId="13" xfId="23" quotePrefix="1" applyNumberFormat="1" applyFont="1" applyFill="1" applyBorder="1" applyAlignment="1" applyProtection="1">
      <alignment horizontal="center" vertical="center" wrapText="1"/>
    </xf>
    <xf numFmtId="49" fontId="42" fillId="10" borderId="12" xfId="23" quotePrefix="1" applyNumberFormat="1" applyFont="1" applyFill="1" applyBorder="1" applyAlignment="1" applyProtection="1">
      <alignment horizontal="center" vertical="center" wrapText="1"/>
    </xf>
    <xf numFmtId="37" fontId="39" fillId="9" borderId="5" xfId="23" applyNumberFormat="1" applyFont="1" applyFill="1" applyBorder="1" applyAlignment="1" applyProtection="1">
      <alignment horizontal="center" vertical="center" wrapText="1"/>
    </xf>
    <xf numFmtId="37" fontId="39" fillId="9" borderId="3" xfId="23" applyNumberFormat="1" applyFont="1" applyFill="1" applyBorder="1" applyAlignment="1" applyProtection="1">
      <alignment horizontal="center" vertical="center" wrapText="1"/>
    </xf>
    <xf numFmtId="37" fontId="39" fillId="9" borderId="11" xfId="23" applyNumberFormat="1" applyFont="1" applyFill="1" applyBorder="1" applyAlignment="1" applyProtection="1">
      <alignment horizontal="center" vertical="center" wrapText="1"/>
    </xf>
    <xf numFmtId="37" fontId="39" fillId="9" borderId="12" xfId="23" applyNumberFormat="1" applyFont="1" applyFill="1" applyBorder="1" applyAlignment="1" applyProtection="1">
      <alignment horizontal="center" vertical="center" wrapText="1"/>
    </xf>
    <xf numFmtId="0" fontId="66" fillId="0" borderId="0" xfId="21" applyFont="1" applyAlignment="1">
      <alignment horizontal="justify" wrapText="1"/>
    </xf>
    <xf numFmtId="0" fontId="43" fillId="12" borderId="13" xfId="21" applyFont="1" applyFill="1" applyBorder="1" applyAlignment="1">
      <alignment horizontal="center"/>
    </xf>
    <xf numFmtId="0" fontId="67" fillId="0" borderId="0" xfId="21" applyFont="1" applyAlignment="1">
      <alignment horizontal="left" wrapText="1"/>
    </xf>
    <xf numFmtId="0" fontId="43" fillId="12" borderId="0" xfId="21" applyFont="1" applyFill="1" applyBorder="1" applyAlignment="1">
      <alignment horizontal="center"/>
    </xf>
    <xf numFmtId="0" fontId="43" fillId="25" borderId="5" xfId="21" applyFont="1" applyFill="1" applyBorder="1" applyAlignment="1">
      <alignment horizontal="center" vertical="center" wrapText="1"/>
    </xf>
    <xf numFmtId="0" fontId="43" fillId="25" borderId="6" xfId="21" applyFont="1" applyFill="1" applyBorder="1" applyAlignment="1">
      <alignment horizontal="center" vertical="center" wrapText="1"/>
    </xf>
    <xf numFmtId="0" fontId="43" fillId="25" borderId="11" xfId="21" applyFont="1" applyFill="1" applyBorder="1" applyAlignment="1">
      <alignment horizontal="center" vertical="center" wrapText="1"/>
    </xf>
    <xf numFmtId="0" fontId="43" fillId="25" borderId="13" xfId="21" applyFont="1" applyFill="1" applyBorder="1" applyAlignment="1">
      <alignment horizontal="center" vertical="center" wrapText="1"/>
    </xf>
    <xf numFmtId="10" fontId="43" fillId="25" borderId="3" xfId="26" applyNumberFormat="1" applyFont="1" applyFill="1" applyBorder="1" applyAlignment="1">
      <alignment horizontal="center" vertical="center"/>
    </xf>
    <xf numFmtId="10" fontId="43" fillId="25" borderId="12" xfId="26" applyNumberFormat="1" applyFont="1" applyFill="1" applyBorder="1" applyAlignment="1">
      <alignment horizontal="center" vertical="center"/>
    </xf>
    <xf numFmtId="0" fontId="57" fillId="0" borderId="0" xfId="0" applyFont="1" applyBorder="1" applyAlignment="1" applyProtection="1">
      <alignment horizontal="left" vertical="center" wrapText="1"/>
      <protection hidden="1"/>
    </xf>
    <xf numFmtId="0" fontId="30" fillId="2" borderId="0" xfId="0" applyFont="1" applyFill="1" applyBorder="1" applyAlignment="1" applyProtection="1">
      <alignment horizontal="center" vertical="center" wrapText="1"/>
      <protection hidden="1"/>
    </xf>
    <xf numFmtId="0" fontId="30" fillId="2" borderId="0" xfId="0" applyFont="1" applyFill="1" applyBorder="1" applyAlignment="1" applyProtection="1">
      <alignment vertical="center" wrapText="1"/>
      <protection hidden="1"/>
    </xf>
    <xf numFmtId="0" fontId="77" fillId="0" borderId="0" xfId="0" applyFont="1" applyBorder="1" applyAlignment="1" applyProtection="1">
      <alignment horizontal="left" vertical="top" wrapText="1"/>
      <protection hidden="1"/>
    </xf>
    <xf numFmtId="0" fontId="57" fillId="0" borderId="0" xfId="0" applyFont="1" applyBorder="1" applyAlignment="1" applyProtection="1">
      <alignment horizontal="left" vertical="top" wrapText="1"/>
      <protection hidden="1"/>
    </xf>
    <xf numFmtId="0" fontId="78" fillId="0" borderId="0" xfId="21" applyFont="1" applyAlignment="1" applyProtection="1">
      <alignment horizontal="left" vertical="center" wrapText="1"/>
      <protection hidden="1"/>
    </xf>
    <xf numFmtId="0" fontId="57" fillId="0" borderId="0" xfId="0" applyFont="1" applyBorder="1" applyAlignment="1" applyProtection="1">
      <alignment horizontal="center" vertical="top" wrapText="1"/>
      <protection hidden="1"/>
    </xf>
    <xf numFmtId="0" fontId="55" fillId="6" borderId="0" xfId="0" applyFont="1" applyFill="1" applyBorder="1" applyAlignment="1" applyProtection="1">
      <alignment horizontal="center" vertical="center"/>
      <protection hidden="1"/>
    </xf>
    <xf numFmtId="0" fontId="30" fillId="2" borderId="0" xfId="0" applyFont="1" applyFill="1" applyBorder="1" applyAlignment="1" applyProtection="1">
      <alignment horizontal="left" vertical="center" wrapText="1"/>
      <protection hidden="1"/>
    </xf>
    <xf numFmtId="0" fontId="30" fillId="2" borderId="0" xfId="0" quotePrefix="1" applyFont="1" applyFill="1" applyBorder="1" applyAlignment="1" applyProtection="1">
      <alignment horizontal="left" vertical="center" wrapText="1"/>
      <protection hidden="1"/>
    </xf>
    <xf numFmtId="0" fontId="57" fillId="0" borderId="0" xfId="0" applyFont="1" applyBorder="1" applyAlignment="1" applyProtection="1">
      <alignment vertical="top" wrapText="1"/>
      <protection hidden="1"/>
    </xf>
    <xf numFmtId="0" fontId="57" fillId="0" borderId="0" xfId="0" applyFont="1" applyFill="1" applyBorder="1" applyAlignment="1" applyProtection="1">
      <alignment vertical="top" wrapText="1"/>
      <protection hidden="1"/>
    </xf>
    <xf numFmtId="0" fontId="50" fillId="5" borderId="67" xfId="0" applyFont="1" applyFill="1" applyBorder="1" applyAlignment="1" applyProtection="1">
      <alignment horizontal="center" vertical="center" wrapText="1"/>
      <protection hidden="1"/>
    </xf>
    <xf numFmtId="0" fontId="50" fillId="5" borderId="68" xfId="0" applyFont="1" applyFill="1" applyBorder="1" applyAlignment="1" applyProtection="1">
      <alignment horizontal="center" vertical="center" wrapText="1"/>
      <protection hidden="1"/>
    </xf>
    <xf numFmtId="0" fontId="50" fillId="5" borderId="64" xfId="0" quotePrefix="1" applyFont="1" applyFill="1" applyBorder="1" applyAlignment="1" applyProtection="1">
      <alignment horizontal="center" vertical="center" wrapText="1"/>
      <protection hidden="1"/>
    </xf>
    <xf numFmtId="0" fontId="50" fillId="5" borderId="52" xfId="0" quotePrefix="1" applyFont="1" applyFill="1" applyBorder="1" applyAlignment="1" applyProtection="1">
      <alignment horizontal="center" vertical="center" wrapText="1"/>
      <protection hidden="1"/>
    </xf>
    <xf numFmtId="0" fontId="50" fillId="5" borderId="65" xfId="0" applyFont="1" applyFill="1" applyBorder="1" applyAlignment="1" applyProtection="1">
      <alignment horizontal="center" vertical="center" wrapText="1"/>
      <protection hidden="1"/>
    </xf>
    <xf numFmtId="0" fontId="50" fillId="5" borderId="66" xfId="0" applyFont="1" applyFill="1" applyBorder="1" applyAlignment="1" applyProtection="1">
      <alignment horizontal="center" vertical="center" wrapText="1"/>
      <protection hidden="1"/>
    </xf>
    <xf numFmtId="0" fontId="50" fillId="5" borderId="72" xfId="0"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wrapText="1"/>
      <protection hidden="1"/>
    </xf>
    <xf numFmtId="0" fontId="29" fillId="0" borderId="0" xfId="0" applyFont="1" applyFill="1" applyAlignment="1" applyProtection="1">
      <alignment horizontal="center" vertical="center"/>
      <protection hidden="1"/>
    </xf>
    <xf numFmtId="0" fontId="57" fillId="12" borderId="0" xfId="0" applyFont="1" applyFill="1" applyBorder="1" applyAlignment="1" applyProtection="1">
      <alignment horizontal="justify" vertical="top" wrapText="1"/>
      <protection hidden="1"/>
    </xf>
    <xf numFmtId="0" fontId="77" fillId="12" borderId="0" xfId="0" applyFont="1" applyFill="1" applyBorder="1" applyAlignment="1" applyProtection="1">
      <alignment horizontal="left" vertical="top" wrapText="1"/>
      <protection hidden="1"/>
    </xf>
    <xf numFmtId="0" fontId="70" fillId="15" borderId="59" xfId="0" applyFont="1" applyFill="1" applyBorder="1" applyAlignment="1" applyProtection="1">
      <alignment horizontal="center" vertical="center" wrapText="1"/>
      <protection hidden="1"/>
    </xf>
    <xf numFmtId="0" fontId="70" fillId="15" borderId="0" xfId="0" applyFont="1" applyFill="1" applyBorder="1" applyAlignment="1" applyProtection="1">
      <alignment horizontal="center" vertical="center" wrapText="1"/>
      <protection hidden="1"/>
    </xf>
    <xf numFmtId="0" fontId="55" fillId="6" borderId="71" xfId="0" applyFont="1" applyFill="1" applyBorder="1" applyAlignment="1" applyProtection="1">
      <alignment horizontal="center" vertical="center"/>
      <protection hidden="1"/>
    </xf>
    <xf numFmtId="0" fontId="55" fillId="6" borderId="72" xfId="0" applyFont="1" applyFill="1" applyBorder="1" applyAlignment="1" applyProtection="1">
      <alignment horizontal="center" vertical="center"/>
      <protection hidden="1"/>
    </xf>
    <xf numFmtId="0" fontId="50" fillId="5" borderId="69" xfId="0" quotePrefix="1" applyFont="1" applyFill="1" applyBorder="1" applyAlignment="1" applyProtection="1">
      <alignment horizontal="center" vertical="center" wrapText="1"/>
      <protection hidden="1"/>
    </xf>
    <xf numFmtId="0" fontId="50" fillId="5" borderId="70" xfId="0"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Alignment="1" applyProtection="1">
      <alignment horizontal="justify" vertical="top" wrapText="1"/>
      <protection hidden="1"/>
    </xf>
    <xf numFmtId="0" fontId="64" fillId="15" borderId="59" xfId="0" quotePrefix="1" applyFont="1" applyFill="1" applyBorder="1" applyAlignment="1" applyProtection="1">
      <alignment horizontal="center" vertical="center" wrapText="1"/>
      <protection hidden="1"/>
    </xf>
    <xf numFmtId="0" fontId="64" fillId="15" borderId="0" xfId="0" quotePrefix="1" applyFont="1" applyFill="1" applyBorder="1" applyAlignment="1" applyProtection="1">
      <alignment horizontal="center" vertical="center" wrapText="1"/>
      <protection hidden="1"/>
    </xf>
    <xf numFmtId="0" fontId="64" fillId="15" borderId="71" xfId="0" applyFont="1" applyFill="1" applyBorder="1" applyAlignment="1" applyProtection="1">
      <alignment horizontal="center" vertical="center" wrapText="1"/>
      <protection hidden="1"/>
    </xf>
    <xf numFmtId="0" fontId="64" fillId="15" borderId="72" xfId="0" applyFont="1" applyFill="1" applyBorder="1" applyAlignment="1" applyProtection="1">
      <alignment horizontal="center" vertical="center" wrapText="1"/>
      <protection hidden="1"/>
    </xf>
    <xf numFmtId="0" fontId="50" fillId="32" borderId="69" xfId="0" quotePrefix="1" applyFont="1" applyFill="1" applyBorder="1" applyAlignment="1" applyProtection="1">
      <alignment horizontal="center" vertical="center" wrapText="1"/>
      <protection hidden="1"/>
    </xf>
    <xf numFmtId="0" fontId="50" fillId="32" borderId="52" xfId="0" quotePrefix="1" applyFont="1" applyFill="1" applyBorder="1" applyAlignment="1" applyProtection="1">
      <alignment horizontal="center" vertical="center" wrapText="1"/>
      <protection hidden="1"/>
    </xf>
    <xf numFmtId="0" fontId="57" fillId="12" borderId="0" xfId="0" applyFont="1" applyFill="1" applyBorder="1" applyAlignment="1" applyProtection="1">
      <alignment horizontal="center" vertical="top" wrapText="1"/>
      <protection hidden="1"/>
    </xf>
    <xf numFmtId="0" fontId="57" fillId="12" borderId="0" xfId="0" applyFont="1" applyFill="1" applyBorder="1" applyAlignment="1" applyProtection="1">
      <alignment horizontal="left" vertical="top" wrapText="1"/>
      <protection hidden="1"/>
    </xf>
    <xf numFmtId="0" fontId="78" fillId="0" borderId="0" xfId="21" applyFont="1" applyAlignment="1" applyProtection="1">
      <alignment horizontal="justify" vertical="center" wrapText="1"/>
      <protection hidden="1"/>
    </xf>
    <xf numFmtId="0" fontId="55" fillId="6" borderId="74" xfId="0" applyFont="1" applyFill="1" applyBorder="1" applyAlignment="1" applyProtection="1">
      <alignment horizontal="center" vertical="center" wrapText="1"/>
      <protection hidden="1"/>
    </xf>
    <xf numFmtId="0" fontId="55" fillId="6" borderId="75" xfId="0" applyFont="1" applyFill="1" applyBorder="1" applyAlignment="1" applyProtection="1">
      <alignment horizontal="center" vertical="center" wrapText="1"/>
      <protection hidden="1"/>
    </xf>
    <xf numFmtId="0" fontId="64" fillId="6" borderId="80" xfId="0" applyFont="1" applyFill="1" applyBorder="1" applyAlignment="1" applyProtection="1">
      <alignment horizontal="center" vertical="center" wrapText="1"/>
      <protection hidden="1"/>
    </xf>
    <xf numFmtId="0" fontId="64" fillId="6" borderId="81" xfId="0" applyFont="1" applyFill="1" applyBorder="1" applyAlignment="1" applyProtection="1">
      <alignment horizontal="center" vertical="center" wrapText="1"/>
      <protection hidden="1"/>
    </xf>
    <xf numFmtId="0" fontId="50" fillId="5" borderId="77" xfId="0" applyFont="1" applyFill="1" applyBorder="1" applyAlignment="1" applyProtection="1">
      <alignment horizontal="center" vertical="center" wrapText="1"/>
      <protection hidden="1"/>
    </xf>
    <xf numFmtId="0" fontId="50" fillId="5" borderId="78" xfId="0" applyFont="1" applyFill="1" applyBorder="1" applyAlignment="1" applyProtection="1">
      <alignment horizontal="center" vertical="center" wrapText="1"/>
      <protection hidden="1"/>
    </xf>
    <xf numFmtId="0" fontId="50" fillId="5" borderId="79" xfId="0" applyFont="1" applyFill="1" applyBorder="1" applyAlignment="1" applyProtection="1">
      <alignment horizontal="center" vertical="center" wrapText="1"/>
      <protection hidden="1"/>
    </xf>
    <xf numFmtId="0" fontId="50" fillId="5" borderId="82" xfId="0" applyFont="1" applyFill="1" applyBorder="1" applyAlignment="1" applyProtection="1">
      <alignment horizontal="center" vertical="center" wrapText="1"/>
      <protection hidden="1"/>
    </xf>
    <xf numFmtId="0" fontId="50" fillId="5" borderId="57" xfId="0"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0" fontId="57" fillId="0" borderId="0" xfId="0" applyFont="1" applyBorder="1" applyAlignment="1" applyProtection="1">
      <alignment horizontal="justify" vertical="center"/>
      <protection hidden="1"/>
    </xf>
    <xf numFmtId="0" fontId="77" fillId="0" borderId="0" xfId="0" applyFont="1" applyBorder="1" applyAlignment="1" applyProtection="1">
      <alignment horizontal="justify" vertical="center"/>
      <protection hidden="1"/>
    </xf>
    <xf numFmtId="0" fontId="75" fillId="0" borderId="0" xfId="0" applyFont="1" applyAlignment="1" applyProtection="1">
      <alignment horizontal="center" vertical="center" wrapText="1"/>
      <protection hidden="1"/>
    </xf>
    <xf numFmtId="0" fontId="57" fillId="0" borderId="0" xfId="0" applyFont="1" applyFill="1" applyBorder="1" applyAlignment="1" applyProtection="1">
      <alignment horizontal="left" vertical="center" wrapText="1"/>
      <protection hidden="1"/>
    </xf>
    <xf numFmtId="0" fontId="57" fillId="0" borderId="0" xfId="0" applyFont="1" applyFill="1" applyBorder="1" applyAlignment="1" applyProtection="1">
      <alignment horizontal="justify" vertical="center" wrapText="1"/>
      <protection hidden="1"/>
    </xf>
    <xf numFmtId="0" fontId="49" fillId="12" borderId="0" xfId="0" applyFont="1" applyFill="1" applyAlignment="1" applyProtection="1">
      <alignment horizontal="fill" vertical="center" wrapText="1"/>
      <protection hidden="1"/>
    </xf>
    <xf numFmtId="0" fontId="28" fillId="12" borderId="0" xfId="0" applyFont="1" applyFill="1" applyAlignment="1" applyProtection="1">
      <alignment vertical="center" wrapText="1"/>
      <protection hidden="1"/>
    </xf>
    <xf numFmtId="0" fontId="57" fillId="12" borderId="0" xfId="0" applyFont="1" applyFill="1" applyAlignment="1" applyProtection="1">
      <alignment horizontal="left" vertical="top" wrapText="1"/>
      <protection hidden="1"/>
    </xf>
    <xf numFmtId="0" fontId="49" fillId="0" borderId="76" xfId="0" applyFont="1" applyFill="1" applyBorder="1" applyAlignment="1" applyProtection="1">
      <alignment horizontal="left" vertical="center" wrapText="1"/>
      <protection hidden="1"/>
    </xf>
    <xf numFmtId="0" fontId="49" fillId="22" borderId="0" xfId="0" applyFont="1" applyFill="1" applyAlignment="1" applyProtection="1">
      <alignment horizontal="left" vertical="center" wrapText="1"/>
      <protection hidden="1"/>
    </xf>
    <xf numFmtId="166" fontId="113" fillId="2" borderId="0" xfId="24" applyFont="1" applyFill="1" applyAlignment="1" applyProtection="1">
      <alignment horizontal="center" vertical="center"/>
      <protection hidden="1"/>
    </xf>
    <xf numFmtId="0" fontId="57" fillId="2" borderId="0" xfId="0" applyNumberFormat="1" applyFont="1" applyFill="1" applyAlignment="1" applyProtection="1">
      <alignment horizontal="justify" vertical="center" wrapText="1"/>
      <protection hidden="1"/>
    </xf>
    <xf numFmtId="0" fontId="60" fillId="0" borderId="0" xfId="0" applyFont="1" applyFill="1" applyBorder="1" applyAlignment="1" applyProtection="1">
      <alignment horizontal="center" vertical="center" wrapText="1"/>
      <protection hidden="1"/>
    </xf>
    <xf numFmtId="0" fontId="57" fillId="2" borderId="0" xfId="0" quotePrefix="1" applyFont="1" applyFill="1" applyBorder="1" applyAlignment="1" applyProtection="1">
      <alignment horizontal="left" vertical="center" wrapText="1"/>
      <protection hidden="1"/>
    </xf>
    <xf numFmtId="166" fontId="65" fillId="2" borderId="0" xfId="24" applyFont="1" applyFill="1" applyAlignment="1" applyProtection="1">
      <alignment horizontal="center" vertical="center"/>
      <protection hidden="1"/>
    </xf>
    <xf numFmtId="166" fontId="65" fillId="2" borderId="0" xfId="24" applyFont="1" applyFill="1" applyAlignment="1" applyProtection="1">
      <alignment horizontal="center" vertical="center" wrapText="1"/>
      <protection hidden="1"/>
    </xf>
    <xf numFmtId="166" fontId="53" fillId="2" borderId="0" xfId="24" applyFont="1" applyFill="1" applyAlignment="1" applyProtection="1">
      <alignment horizontal="center" vertical="center"/>
      <protection hidden="1"/>
    </xf>
    <xf numFmtId="0" fontId="57" fillId="0" borderId="0" xfId="0" applyFont="1" applyAlignment="1" applyProtection="1">
      <alignment horizontal="left" vertical="center" wrapText="1"/>
      <protection hidden="1"/>
    </xf>
    <xf numFmtId="0" fontId="57" fillId="0" borderId="0" xfId="0" applyFont="1" applyAlignment="1" applyProtection="1">
      <alignment horizontal="justify" vertical="center" wrapText="1"/>
      <protection hidden="1"/>
    </xf>
  </cellXfs>
  <cellStyles count="34">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10</xdr:col>
      <xdr:colOff>123824</xdr:colOff>
      <xdr:row>17</xdr:row>
      <xdr:rowOff>83830</xdr:rowOff>
    </xdr:from>
    <xdr:to>
      <xdr:col>15</xdr:col>
      <xdr:colOff>302981</xdr:colOff>
      <xdr:row>24</xdr:row>
      <xdr:rowOff>23812</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124949" y="2836555"/>
          <a:ext cx="3989157" cy="1216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171449</xdr:colOff>
      <xdr:row>5</xdr:row>
      <xdr:rowOff>561975</xdr:rowOff>
    </xdr:from>
    <xdr:to>
      <xdr:col>10</xdr:col>
      <xdr:colOff>191363</xdr:colOff>
      <xdr:row>19</xdr:row>
      <xdr:rowOff>353026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1482835" y="1704975"/>
          <a:ext cx="2435311" cy="4643410"/>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3:T316"/>
  <sheetViews>
    <sheetView topLeftCell="B1" zoomScale="90" zoomScaleNormal="90" workbookViewId="0">
      <selection activeCell="Z15" sqref="Z15"/>
    </sheetView>
  </sheetViews>
  <sheetFormatPr baseColWidth="10" defaultColWidth="11.375" defaultRowHeight="14.3" outlineLevelRow="2"/>
  <cols>
    <col min="1" max="1" width="0" style="436" hidden="1" customWidth="1"/>
    <col min="2" max="2" width="0.875" style="436" customWidth="1"/>
    <col min="3" max="3" width="1.125" style="436" customWidth="1"/>
    <col min="4" max="4" width="89.375" style="436" customWidth="1"/>
    <col min="5" max="5" width="23.75" style="437" hidden="1" customWidth="1"/>
    <col min="6" max="6" width="5.625" style="436" customWidth="1"/>
    <col min="7" max="7" width="6.75" style="436" customWidth="1"/>
    <col min="8" max="8" width="1.875" style="436" customWidth="1"/>
    <col min="9" max="9" width="3.125" style="436" customWidth="1"/>
    <col min="10" max="10" width="1.625" style="436" customWidth="1"/>
    <col min="11" max="11" width="11.75" style="436" customWidth="1"/>
    <col min="12" max="12" width="6.75" style="436" customWidth="1"/>
    <col min="13" max="15" width="11.375" style="436"/>
    <col min="16" max="16" width="16" style="436" customWidth="1"/>
    <col min="17" max="17" width="33.25" style="436" bestFit="1" customWidth="1"/>
    <col min="18" max="18" width="11.375" style="436"/>
    <col min="19" max="19" width="33.25" style="436" bestFit="1" customWidth="1"/>
    <col min="20" max="16384" width="11.375" style="436"/>
  </cols>
  <sheetData>
    <row r="3" spans="4:16" ht="21.1">
      <c r="D3" s="438" t="s">
        <v>351</v>
      </c>
    </row>
    <row r="4" spans="4:16">
      <c r="D4" s="444" t="s">
        <v>352</v>
      </c>
    </row>
    <row r="5" spans="4:16">
      <c r="D5" s="445" t="s">
        <v>353</v>
      </c>
    </row>
    <row r="6" spans="4:16">
      <c r="D6" s="436" t="s">
        <v>354</v>
      </c>
    </row>
    <row r="7" spans="4:16">
      <c r="D7" s="436" t="s">
        <v>355</v>
      </c>
    </row>
    <row r="8" spans="4:16">
      <c r="D8" s="436" t="s">
        <v>356</v>
      </c>
    </row>
    <row r="9" spans="4:16">
      <c r="D9" s="578" t="s">
        <v>637</v>
      </c>
    </row>
    <row r="12" spans="4:16">
      <c r="P12" s="445"/>
    </row>
    <row r="13" spans="4:16">
      <c r="P13" s="445"/>
    </row>
    <row r="14" spans="4:16" ht="21.1">
      <c r="D14" s="725" t="s">
        <v>358</v>
      </c>
      <c r="E14" s="726" t="s">
        <v>334</v>
      </c>
      <c r="F14" s="727" t="s">
        <v>335</v>
      </c>
      <c r="G14" s="728"/>
      <c r="H14" s="728"/>
      <c r="I14" s="728"/>
      <c r="J14" s="729"/>
      <c r="K14" s="723" t="s">
        <v>577</v>
      </c>
      <c r="P14" s="445"/>
    </row>
    <row r="15" spans="4:16" ht="21.1">
      <c r="D15" s="725"/>
      <c r="E15" s="726"/>
      <c r="F15" s="730" t="s">
        <v>638</v>
      </c>
      <c r="G15" s="731"/>
      <c r="H15" s="731"/>
      <c r="I15" s="731"/>
      <c r="J15" s="732"/>
      <c r="K15" s="724"/>
      <c r="P15" s="445"/>
    </row>
    <row r="16" spans="4:16">
      <c r="D16" s="446" t="s">
        <v>360</v>
      </c>
      <c r="E16" s="473"/>
      <c r="F16" s="736" t="s">
        <v>361</v>
      </c>
      <c r="G16" s="736"/>
      <c r="H16" s="736"/>
      <c r="I16" s="736"/>
      <c r="J16" s="736"/>
      <c r="K16" s="452">
        <v>0</v>
      </c>
      <c r="L16" s="712" t="s">
        <v>576</v>
      </c>
      <c r="M16" s="557"/>
      <c r="P16" s="445"/>
    </row>
    <row r="17" spans="4:19">
      <c r="D17" s="446" t="s">
        <v>362</v>
      </c>
      <c r="E17" s="480"/>
      <c r="F17" s="734" t="s">
        <v>361</v>
      </c>
      <c r="G17" s="734"/>
      <c r="H17" s="734"/>
      <c r="I17" s="734"/>
      <c r="J17" s="734"/>
      <c r="K17" s="452"/>
      <c r="L17" s="712" t="s">
        <v>576</v>
      </c>
      <c r="M17" s="557"/>
      <c r="P17" s="445"/>
      <c r="S17" s="182" t="s">
        <v>343</v>
      </c>
    </row>
    <row r="18" spans="4:19">
      <c r="D18" s="446" t="s">
        <v>363</v>
      </c>
      <c r="E18" s="480"/>
      <c r="F18" s="734" t="s">
        <v>361</v>
      </c>
      <c r="G18" s="734"/>
      <c r="H18" s="734"/>
      <c r="I18" s="734"/>
      <c r="J18" s="734"/>
      <c r="K18" s="452"/>
      <c r="L18" s="712" t="s">
        <v>576</v>
      </c>
      <c r="M18" s="557"/>
      <c r="P18" s="445"/>
      <c r="S18" s="182" t="s">
        <v>345</v>
      </c>
    </row>
    <row r="19" spans="4:19">
      <c r="D19" s="446" t="s">
        <v>364</v>
      </c>
      <c r="E19" s="480" t="s">
        <v>339</v>
      </c>
      <c r="F19" s="734" t="s">
        <v>340</v>
      </c>
      <c r="G19" s="734"/>
      <c r="H19" s="734"/>
      <c r="I19" s="734"/>
      <c r="J19" s="734"/>
      <c r="K19" s="476">
        <f>+'COMBUSTIBLES '!E7</f>
        <v>4321.3500000000004</v>
      </c>
      <c r="L19" s="712" t="s">
        <v>576</v>
      </c>
      <c r="M19" s="557"/>
      <c r="S19" s="182" t="s">
        <v>338</v>
      </c>
    </row>
    <row r="20" spans="4:19">
      <c r="D20" s="446" t="s">
        <v>365</v>
      </c>
      <c r="E20" s="480" t="s">
        <v>366</v>
      </c>
      <c r="F20" s="734" t="s">
        <v>340</v>
      </c>
      <c r="G20" s="734"/>
      <c r="H20" s="734"/>
      <c r="I20" s="734"/>
      <c r="J20" s="734"/>
      <c r="K20" s="488">
        <f>+'COMBUSTIBLES '!E8</f>
        <v>8.3842000000000017</v>
      </c>
      <c r="L20" s="712" t="s">
        <v>576</v>
      </c>
      <c r="M20" s="557"/>
      <c r="S20" s="182" t="s">
        <v>341</v>
      </c>
    </row>
    <row r="21" spans="4:19">
      <c r="D21" s="446" t="s">
        <v>367</v>
      </c>
      <c r="E21" s="480"/>
      <c r="F21" s="735" t="s">
        <v>368</v>
      </c>
      <c r="G21" s="735"/>
      <c r="H21" s="735"/>
      <c r="I21" s="735"/>
      <c r="J21" s="735"/>
      <c r="K21" s="476">
        <f>+Variables!E27</f>
        <v>5024.59</v>
      </c>
      <c r="L21" s="712" t="s">
        <v>576</v>
      </c>
      <c r="M21" s="557"/>
      <c r="S21" s="182" t="s">
        <v>342</v>
      </c>
    </row>
    <row r="22" spans="4:19">
      <c r="D22" s="446" t="s">
        <v>371</v>
      </c>
      <c r="E22" s="480" t="s">
        <v>372</v>
      </c>
      <c r="F22" s="734" t="s">
        <v>340</v>
      </c>
      <c r="G22" s="734"/>
      <c r="H22" s="734"/>
      <c r="I22" s="734"/>
      <c r="J22" s="734"/>
      <c r="K22" s="476">
        <f>+'COMBUSTIBLES '!B8</f>
        <v>8.3842000000000017</v>
      </c>
      <c r="L22" s="712" t="s">
        <v>576</v>
      </c>
      <c r="M22" s="557"/>
      <c r="S22" s="182" t="s">
        <v>346</v>
      </c>
    </row>
    <row r="23" spans="4:19">
      <c r="D23" s="446" t="s">
        <v>373</v>
      </c>
      <c r="E23" s="480" t="s">
        <v>344</v>
      </c>
      <c r="F23" s="734" t="s">
        <v>340</v>
      </c>
      <c r="G23" s="734"/>
      <c r="H23" s="734"/>
      <c r="I23" s="734"/>
      <c r="J23" s="734"/>
      <c r="K23" s="476">
        <f>+'COMBUSTIBLES '!B7</f>
        <v>4719.72</v>
      </c>
      <c r="L23" s="712" t="s">
        <v>576</v>
      </c>
      <c r="M23" s="557"/>
      <c r="S23" s="182" t="s">
        <v>348</v>
      </c>
    </row>
    <row r="24" spans="4:19">
      <c r="D24" s="446" t="s">
        <v>369</v>
      </c>
      <c r="E24" s="481" t="s">
        <v>370</v>
      </c>
      <c r="F24" s="735" t="s">
        <v>368</v>
      </c>
      <c r="G24" s="735"/>
      <c r="H24" s="735"/>
      <c r="I24" s="735"/>
      <c r="J24" s="735"/>
      <c r="K24" s="476">
        <f>+Variables!E20</f>
        <v>5078.7700000000004</v>
      </c>
      <c r="L24" s="712" t="s">
        <v>576</v>
      </c>
      <c r="M24" s="557"/>
      <c r="S24" s="182" t="s">
        <v>350</v>
      </c>
    </row>
    <row r="25" spans="4:19">
      <c r="D25" s="446" t="s">
        <v>374</v>
      </c>
      <c r="E25" s="480" t="s">
        <v>366</v>
      </c>
      <c r="F25" s="734" t="s">
        <v>375</v>
      </c>
      <c r="G25" s="734"/>
      <c r="H25" s="734"/>
      <c r="I25" s="734"/>
      <c r="J25" s="734"/>
      <c r="K25" s="476">
        <f>+BIODIESEL!E8</f>
        <v>4234.92</v>
      </c>
      <c r="L25" s="712" t="s">
        <v>576</v>
      </c>
      <c r="M25" s="557"/>
    </row>
    <row r="26" spans="4:19">
      <c r="D26" s="446" t="s">
        <v>376</v>
      </c>
      <c r="E26" s="480" t="s">
        <v>347</v>
      </c>
      <c r="F26" s="734" t="s">
        <v>375</v>
      </c>
      <c r="G26" s="734"/>
      <c r="H26" s="734"/>
      <c r="I26" s="734"/>
      <c r="J26" s="734"/>
      <c r="K26" s="476">
        <f>+BIODIESEL!E10</f>
        <v>4556.53</v>
      </c>
      <c r="L26" s="712" t="s">
        <v>576</v>
      </c>
      <c r="M26" s="557"/>
    </row>
    <row r="27" spans="4:19">
      <c r="D27" s="446" t="s">
        <v>377</v>
      </c>
      <c r="E27" s="480" t="s">
        <v>378</v>
      </c>
      <c r="F27" s="734" t="s">
        <v>375</v>
      </c>
      <c r="G27" s="734"/>
      <c r="H27" s="734"/>
      <c r="I27" s="734"/>
      <c r="J27" s="734"/>
      <c r="K27" s="476">
        <f>+BIODIESEL!E14</f>
        <v>8.3842000000000017</v>
      </c>
      <c r="L27" s="712" t="s">
        <v>576</v>
      </c>
      <c r="M27" s="557"/>
    </row>
    <row r="28" spans="4:19">
      <c r="D28" s="446" t="s">
        <v>379</v>
      </c>
      <c r="E28" s="480" t="s">
        <v>380</v>
      </c>
      <c r="F28" s="734" t="s">
        <v>375</v>
      </c>
      <c r="G28" s="734"/>
      <c r="H28" s="734"/>
      <c r="I28" s="734"/>
      <c r="J28" s="734"/>
      <c r="K28" s="476">
        <f>+BIODIESEL!E9</f>
        <v>321.61</v>
      </c>
      <c r="L28" s="712" t="s">
        <v>576</v>
      </c>
      <c r="M28" s="557"/>
    </row>
    <row r="29" spans="4:19">
      <c r="D29" s="446" t="s">
        <v>381</v>
      </c>
      <c r="E29" s="481" t="s">
        <v>370</v>
      </c>
      <c r="F29" s="735" t="s">
        <v>368</v>
      </c>
      <c r="G29" s="735"/>
      <c r="H29" s="735"/>
      <c r="I29" s="735"/>
      <c r="J29" s="735"/>
      <c r="K29" s="476">
        <f>+Variables!E27</f>
        <v>5024.59</v>
      </c>
      <c r="L29" s="712" t="s">
        <v>576</v>
      </c>
      <c r="M29" s="557"/>
    </row>
    <row r="30" spans="4:19">
      <c r="D30" s="446" t="s">
        <v>382</v>
      </c>
      <c r="E30" s="480" t="s">
        <v>366</v>
      </c>
      <c r="F30" s="734" t="s">
        <v>340</v>
      </c>
      <c r="G30" s="734"/>
      <c r="H30" s="734"/>
      <c r="I30" s="734"/>
      <c r="J30" s="734"/>
      <c r="K30" s="476">
        <f>+'COMBUSTIBLES '!E8</f>
        <v>8.3842000000000017</v>
      </c>
      <c r="L30" s="712" t="s">
        <v>576</v>
      </c>
      <c r="M30" s="557"/>
    </row>
    <row r="31" spans="4:19">
      <c r="D31" s="446" t="s">
        <v>383</v>
      </c>
      <c r="E31" s="480" t="s">
        <v>339</v>
      </c>
      <c r="F31" s="734" t="s">
        <v>340</v>
      </c>
      <c r="G31" s="734"/>
      <c r="H31" s="734"/>
      <c r="I31" s="734"/>
      <c r="J31" s="734"/>
      <c r="K31" s="476">
        <f>+'COMBUSTIBLES '!E7</f>
        <v>4321.3500000000004</v>
      </c>
      <c r="L31" s="712" t="s">
        <v>576</v>
      </c>
      <c r="M31" s="557"/>
    </row>
    <row r="32" spans="4:19">
      <c r="D32" s="446" t="s">
        <v>384</v>
      </c>
      <c r="E32" s="481" t="s">
        <v>370</v>
      </c>
      <c r="F32" s="735" t="s">
        <v>368</v>
      </c>
      <c r="G32" s="735"/>
      <c r="H32" s="735"/>
      <c r="I32" s="735"/>
      <c r="J32" s="735"/>
      <c r="K32" s="476">
        <f>+Variables!E27</f>
        <v>5024.59</v>
      </c>
      <c r="L32" s="712" t="s">
        <v>576</v>
      </c>
      <c r="M32" s="557"/>
    </row>
    <row r="33" spans="4:16">
      <c r="D33" s="446" t="s">
        <v>385</v>
      </c>
      <c r="E33" s="480" t="s">
        <v>339</v>
      </c>
      <c r="F33" s="734" t="s">
        <v>340</v>
      </c>
      <c r="G33" s="734"/>
      <c r="H33" s="734"/>
      <c r="I33" s="734"/>
      <c r="J33" s="734"/>
      <c r="K33" s="476">
        <f>+'COMBUSTIBLES '!E7</f>
        <v>4321.3500000000004</v>
      </c>
      <c r="L33" s="712" t="s">
        <v>576</v>
      </c>
      <c r="M33" s="557"/>
    </row>
    <row r="34" spans="4:16">
      <c r="D34" s="446" t="s">
        <v>386</v>
      </c>
      <c r="E34" s="481" t="s">
        <v>370</v>
      </c>
      <c r="F34" s="735" t="s">
        <v>368</v>
      </c>
      <c r="G34" s="735"/>
      <c r="H34" s="735"/>
      <c r="I34" s="735"/>
      <c r="J34" s="735"/>
      <c r="K34" s="476">
        <f>+Variables!E27</f>
        <v>5024.59</v>
      </c>
      <c r="L34" s="712" t="s">
        <v>576</v>
      </c>
      <c r="M34" s="557"/>
    </row>
    <row r="35" spans="4:16" outlineLevel="1">
      <c r="D35" s="446" t="s">
        <v>387</v>
      </c>
      <c r="E35" s="480" t="s">
        <v>349</v>
      </c>
      <c r="F35" s="734" t="s">
        <v>375</v>
      </c>
      <c r="G35" s="734"/>
      <c r="H35" s="734"/>
      <c r="I35" s="734"/>
      <c r="J35" s="734"/>
      <c r="K35" s="476">
        <f>+BIODIESEL!F10</f>
        <v>4791.72</v>
      </c>
      <c r="L35" s="614" t="s">
        <v>667</v>
      </c>
      <c r="M35" s="496"/>
    </row>
    <row r="36" spans="4:16" outlineLevel="1">
      <c r="D36" s="446" t="s">
        <v>388</v>
      </c>
      <c r="E36" s="480" t="s">
        <v>366</v>
      </c>
      <c r="F36" s="734" t="s">
        <v>340</v>
      </c>
      <c r="G36" s="734"/>
      <c r="H36" s="734"/>
      <c r="I36" s="734"/>
      <c r="J36" s="734"/>
      <c r="K36" s="476">
        <f>+'COMBUSTIBLES '!E8</f>
        <v>8.3842000000000017</v>
      </c>
      <c r="L36" s="614" t="s">
        <v>667</v>
      </c>
      <c r="M36" s="496"/>
    </row>
    <row r="37" spans="4:16" outlineLevel="1">
      <c r="D37" s="446" t="s">
        <v>389</v>
      </c>
      <c r="E37" s="480" t="s">
        <v>390</v>
      </c>
      <c r="F37" s="734" t="s">
        <v>375</v>
      </c>
      <c r="G37" s="734"/>
      <c r="H37" s="734"/>
      <c r="I37" s="734"/>
      <c r="J37" s="734"/>
      <c r="K37" s="476">
        <f>+BIODIESEL!F8</f>
        <v>4148.5</v>
      </c>
      <c r="L37" s="614" t="s">
        <v>667</v>
      </c>
      <c r="M37" s="496"/>
    </row>
    <row r="38" spans="4:16" outlineLevel="1">
      <c r="D38" s="446" t="s">
        <v>391</v>
      </c>
      <c r="E38" s="480" t="s">
        <v>392</v>
      </c>
      <c r="F38" s="734" t="s">
        <v>375</v>
      </c>
      <c r="G38" s="734"/>
      <c r="H38" s="734"/>
      <c r="I38" s="734"/>
      <c r="J38" s="734"/>
      <c r="K38" s="476">
        <f>+BIODIESEL!F9</f>
        <v>643.22</v>
      </c>
      <c r="L38" s="614" t="s">
        <v>667</v>
      </c>
      <c r="M38" s="496"/>
    </row>
    <row r="39" spans="4:16" outlineLevel="1">
      <c r="D39" s="446" t="s">
        <v>393</v>
      </c>
      <c r="E39" s="481" t="s">
        <v>370</v>
      </c>
      <c r="F39" s="735" t="s">
        <v>368</v>
      </c>
      <c r="G39" s="735"/>
      <c r="H39" s="735"/>
      <c r="I39" s="735"/>
      <c r="J39" s="735"/>
      <c r="K39" s="476">
        <f>+Variables!E27</f>
        <v>5024.59</v>
      </c>
      <c r="L39" s="614" t="s">
        <v>667</v>
      </c>
      <c r="M39" s="496"/>
    </row>
    <row r="40" spans="4:16">
      <c r="D40" s="446" t="s">
        <v>394</v>
      </c>
      <c r="E40" s="480" t="s">
        <v>366</v>
      </c>
      <c r="F40" s="734" t="s">
        <v>340</v>
      </c>
      <c r="G40" s="734"/>
      <c r="H40" s="734"/>
      <c r="I40" s="734"/>
      <c r="J40" s="734"/>
      <c r="K40" s="476">
        <f>+'COMBUSTIBLES '!E8</f>
        <v>8.3842000000000017</v>
      </c>
      <c r="L40" s="712" t="s">
        <v>576</v>
      </c>
      <c r="M40" s="557"/>
      <c r="P40" s="707"/>
    </row>
    <row r="41" spans="4:16">
      <c r="D41" s="446" t="s">
        <v>395</v>
      </c>
      <c r="E41" s="480" t="s">
        <v>339</v>
      </c>
      <c r="F41" s="734" t="s">
        <v>340</v>
      </c>
      <c r="G41" s="734"/>
      <c r="H41" s="734"/>
      <c r="I41" s="734"/>
      <c r="J41" s="734"/>
      <c r="K41" s="476">
        <f>+'COMBUSTIBLES '!E7</f>
        <v>4321.3500000000004</v>
      </c>
      <c r="L41" s="712" t="s">
        <v>576</v>
      </c>
      <c r="M41" s="557"/>
    </row>
    <row r="42" spans="4:16">
      <c r="D42" s="446" t="s">
        <v>396</v>
      </c>
      <c r="E42" s="481" t="s">
        <v>370</v>
      </c>
      <c r="F42" s="735" t="s">
        <v>368</v>
      </c>
      <c r="G42" s="735"/>
      <c r="H42" s="735"/>
      <c r="I42" s="735"/>
      <c r="J42" s="735"/>
      <c r="K42" s="489">
        <f>+Variables!E27</f>
        <v>5024.59</v>
      </c>
      <c r="L42" s="712" t="s">
        <v>576</v>
      </c>
      <c r="M42" s="557"/>
    </row>
    <row r="43" spans="4:16">
      <c r="D43" s="446" t="s">
        <v>397</v>
      </c>
      <c r="E43" s="480" t="s">
        <v>347</v>
      </c>
      <c r="F43" s="734" t="s">
        <v>375</v>
      </c>
      <c r="G43" s="734"/>
      <c r="H43" s="734"/>
      <c r="I43" s="734"/>
      <c r="J43" s="734"/>
      <c r="K43" s="489">
        <f>+BIODIESEL!E10</f>
        <v>4556.53</v>
      </c>
      <c r="L43" s="712" t="s">
        <v>576</v>
      </c>
      <c r="M43" s="557"/>
    </row>
    <row r="44" spans="4:16">
      <c r="D44" s="446" t="s">
        <v>398</v>
      </c>
      <c r="E44" s="480" t="s">
        <v>366</v>
      </c>
      <c r="F44" s="734" t="s">
        <v>375</v>
      </c>
      <c r="G44" s="734"/>
      <c r="H44" s="734"/>
      <c r="I44" s="734"/>
      <c r="J44" s="734"/>
      <c r="K44" s="489">
        <f>+BIODIESEL!E8</f>
        <v>4234.92</v>
      </c>
      <c r="L44" s="712" t="s">
        <v>576</v>
      </c>
      <c r="M44" s="557"/>
    </row>
    <row r="45" spans="4:16">
      <c r="D45" s="446" t="s">
        <v>399</v>
      </c>
      <c r="E45" s="480" t="s">
        <v>380</v>
      </c>
      <c r="F45" s="734" t="s">
        <v>375</v>
      </c>
      <c r="G45" s="734"/>
      <c r="H45" s="734"/>
      <c r="I45" s="734"/>
      <c r="J45" s="734"/>
      <c r="K45" s="489">
        <f>+BIODIESEL!E9</f>
        <v>321.61</v>
      </c>
      <c r="L45" s="712" t="s">
        <v>576</v>
      </c>
      <c r="M45" s="557"/>
    </row>
    <row r="46" spans="4:16">
      <c r="D46" s="446" t="s">
        <v>400</v>
      </c>
      <c r="E46" s="481" t="s">
        <v>370</v>
      </c>
      <c r="F46" s="735" t="s">
        <v>368</v>
      </c>
      <c r="G46" s="735"/>
      <c r="H46" s="735"/>
      <c r="I46" s="735"/>
      <c r="J46" s="735"/>
      <c r="K46" s="489">
        <f>+Variables!E27</f>
        <v>5024.59</v>
      </c>
      <c r="L46" s="712" t="s">
        <v>576</v>
      </c>
      <c r="M46" s="557"/>
    </row>
    <row r="47" spans="4:16">
      <c r="D47" s="446" t="s">
        <v>538</v>
      </c>
      <c r="E47" s="480" t="s">
        <v>339</v>
      </c>
      <c r="F47" s="734" t="s">
        <v>340</v>
      </c>
      <c r="G47" s="734"/>
      <c r="H47" s="734"/>
      <c r="I47" s="734"/>
      <c r="J47" s="734"/>
      <c r="K47" s="489">
        <f>+'COMBUSTIBLES '!E7</f>
        <v>4321.3500000000004</v>
      </c>
      <c r="L47" s="712" t="s">
        <v>576</v>
      </c>
      <c r="M47" s="557"/>
    </row>
    <row r="48" spans="4:16">
      <c r="D48" s="446" t="s">
        <v>539</v>
      </c>
      <c r="E48" s="481" t="s">
        <v>370</v>
      </c>
      <c r="F48" s="735" t="s">
        <v>368</v>
      </c>
      <c r="G48" s="735"/>
      <c r="H48" s="735"/>
      <c r="I48" s="735"/>
      <c r="J48" s="735"/>
      <c r="K48" s="476">
        <f>+Variables!E27</f>
        <v>5024.59</v>
      </c>
      <c r="L48" s="712" t="s">
        <v>576</v>
      </c>
      <c r="M48" s="557"/>
    </row>
    <row r="49" spans="4:13">
      <c r="D49" s="446" t="s">
        <v>540</v>
      </c>
      <c r="E49" s="480" t="s">
        <v>366</v>
      </c>
      <c r="F49" s="734" t="s">
        <v>340</v>
      </c>
      <c r="G49" s="734"/>
      <c r="H49" s="734"/>
      <c r="I49" s="734"/>
      <c r="J49" s="734"/>
      <c r="K49" s="476">
        <f>+'COMBUSTIBLES '!E8</f>
        <v>8.3842000000000017</v>
      </c>
      <c r="L49" s="712" t="s">
        <v>576</v>
      </c>
      <c r="M49" s="557"/>
    </row>
    <row r="50" spans="4:13">
      <c r="D50" s="446" t="s">
        <v>541</v>
      </c>
      <c r="E50" s="480"/>
      <c r="F50" s="734" t="s">
        <v>361</v>
      </c>
      <c r="G50" s="734"/>
      <c r="H50" s="734"/>
      <c r="I50" s="734"/>
      <c r="J50" s="734"/>
      <c r="K50" s="452">
        <v>0</v>
      </c>
      <c r="L50" s="712" t="s">
        <v>718</v>
      </c>
      <c r="M50" s="557"/>
    </row>
    <row r="51" spans="4:13">
      <c r="D51" s="499" t="s">
        <v>579</v>
      </c>
      <c r="E51" s="497"/>
      <c r="F51" s="744" t="s">
        <v>368</v>
      </c>
      <c r="G51" s="744"/>
      <c r="H51" s="744"/>
      <c r="I51" s="744"/>
      <c r="J51" s="744"/>
      <c r="K51" s="498">
        <f>+'COMBUSTIBLES '!E7</f>
        <v>4321.3500000000004</v>
      </c>
      <c r="L51" s="712" t="s">
        <v>576</v>
      </c>
      <c r="M51" s="557"/>
    </row>
    <row r="52" spans="4:13">
      <c r="D52" s="446" t="s">
        <v>580</v>
      </c>
      <c r="E52" s="480"/>
      <c r="F52" s="737"/>
      <c r="G52" s="738"/>
      <c r="H52" s="738"/>
      <c r="I52" s="739"/>
      <c r="J52" s="495"/>
      <c r="K52" s="476">
        <f>+Variables!E27</f>
        <v>5024.59</v>
      </c>
      <c r="L52" s="712" t="s">
        <v>576</v>
      </c>
      <c r="M52" s="557"/>
    </row>
    <row r="53" spans="4:13">
      <c r="D53" s="446" t="s">
        <v>581</v>
      </c>
      <c r="E53" s="480"/>
      <c r="F53" s="735" t="s">
        <v>368</v>
      </c>
      <c r="G53" s="735"/>
      <c r="H53" s="735"/>
      <c r="I53" s="735"/>
      <c r="J53" s="735"/>
      <c r="K53" s="476">
        <f>+'COMBUSTIBLES '!E8</f>
        <v>8.3842000000000017</v>
      </c>
      <c r="L53" s="712" t="s">
        <v>576</v>
      </c>
      <c r="M53" s="557"/>
    </row>
    <row r="54" spans="4:13">
      <c r="D54" s="446" t="s">
        <v>582</v>
      </c>
      <c r="E54" s="480"/>
      <c r="F54" s="735" t="s">
        <v>368</v>
      </c>
      <c r="G54" s="735"/>
      <c r="H54" s="735"/>
      <c r="I54" s="735"/>
      <c r="J54" s="735"/>
      <c r="K54" s="476">
        <f>+'COMBUSTIBLES '!B7</f>
        <v>4719.72</v>
      </c>
      <c r="L54" s="712" t="s">
        <v>576</v>
      </c>
      <c r="M54" s="557"/>
    </row>
    <row r="55" spans="4:13">
      <c r="D55" s="446" t="s">
        <v>583</v>
      </c>
      <c r="E55" s="480"/>
      <c r="F55" s="737"/>
      <c r="G55" s="738"/>
      <c r="H55" s="738"/>
      <c r="I55" s="739"/>
      <c r="J55" s="495"/>
      <c r="K55" s="476">
        <f>+Variables!E22</f>
        <v>5078.7700000000004</v>
      </c>
      <c r="L55" s="712" t="s">
        <v>576</v>
      </c>
      <c r="M55" s="557"/>
    </row>
    <row r="56" spans="4:13">
      <c r="D56" s="446" t="s">
        <v>584</v>
      </c>
      <c r="E56" s="480"/>
      <c r="F56" s="737"/>
      <c r="G56" s="738"/>
      <c r="H56" s="738"/>
      <c r="I56" s="739"/>
      <c r="J56" s="495"/>
      <c r="K56" s="476">
        <f>+'COMBUSTIBLES '!B8</f>
        <v>8.3842000000000017</v>
      </c>
      <c r="L56" s="712" t="s">
        <v>576</v>
      </c>
      <c r="M56" s="557"/>
    </row>
    <row r="57" spans="4:13">
      <c r="D57" s="446" t="s">
        <v>585</v>
      </c>
      <c r="E57" s="480"/>
      <c r="F57" s="737"/>
      <c r="G57" s="738"/>
      <c r="H57" s="738"/>
      <c r="I57" s="739"/>
      <c r="J57" s="495"/>
      <c r="K57" s="476">
        <f>+'COMBUSTIBLES '!E10</f>
        <v>0</v>
      </c>
      <c r="L57" s="712" t="s">
        <v>576</v>
      </c>
      <c r="M57" s="557"/>
    </row>
    <row r="58" spans="4:13">
      <c r="D58" s="446" t="s">
        <v>586</v>
      </c>
      <c r="E58" s="480"/>
      <c r="F58" s="737"/>
      <c r="G58" s="738"/>
      <c r="H58" s="738"/>
      <c r="I58" s="739"/>
      <c r="J58" s="495"/>
      <c r="K58" s="476">
        <f>+'COMBUSTIBLES '!E10</f>
        <v>0</v>
      </c>
      <c r="L58" s="709"/>
      <c r="M58" s="557"/>
    </row>
    <row r="59" spans="4:13">
      <c r="D59" s="446" t="s">
        <v>591</v>
      </c>
      <c r="E59" s="480"/>
      <c r="F59" s="737"/>
      <c r="G59" s="738"/>
      <c r="H59" s="738"/>
      <c r="I59" s="739"/>
      <c r="J59" s="503"/>
      <c r="K59" s="476">
        <f>+BIODIESEL!E10</f>
        <v>4556.53</v>
      </c>
      <c r="L59" s="712" t="s">
        <v>576</v>
      </c>
      <c r="M59" s="557"/>
    </row>
    <row r="60" spans="4:13">
      <c r="D60" s="446" t="s">
        <v>592</v>
      </c>
      <c r="E60" s="480"/>
      <c r="F60" s="737"/>
      <c r="G60" s="738"/>
      <c r="H60" s="738"/>
      <c r="I60" s="739"/>
      <c r="J60" s="503"/>
      <c r="K60" s="476">
        <f>+Variables!E27</f>
        <v>5024.59</v>
      </c>
      <c r="L60" s="712" t="s">
        <v>576</v>
      </c>
      <c r="M60" s="557"/>
    </row>
    <row r="61" spans="4:13">
      <c r="D61" s="446" t="s">
        <v>593</v>
      </c>
      <c r="E61" s="480"/>
      <c r="F61" s="737"/>
      <c r="G61" s="738"/>
      <c r="H61" s="738"/>
      <c r="I61" s="739"/>
      <c r="J61" s="503"/>
      <c r="K61" s="476">
        <f>+K58</f>
        <v>0</v>
      </c>
      <c r="L61" s="709"/>
      <c r="M61" s="557"/>
    </row>
    <row r="62" spans="4:13">
      <c r="D62" s="446" t="s">
        <v>594</v>
      </c>
      <c r="E62" s="480"/>
      <c r="F62" s="737"/>
      <c r="G62" s="738"/>
      <c r="H62" s="738"/>
      <c r="I62" s="739"/>
      <c r="J62" s="503"/>
      <c r="K62" s="476">
        <f>+BIODIESEL!E9</f>
        <v>321.61</v>
      </c>
      <c r="L62" s="712" t="s">
        <v>576</v>
      </c>
      <c r="M62" s="557"/>
    </row>
    <row r="63" spans="4:13">
      <c r="D63" s="446" t="s">
        <v>595</v>
      </c>
      <c r="E63" s="480"/>
      <c r="F63" s="737"/>
      <c r="G63" s="738"/>
      <c r="H63" s="738"/>
      <c r="I63" s="739"/>
      <c r="J63" s="503"/>
      <c r="K63" s="476">
        <f>+BIODIESEL!E8</f>
        <v>4234.92</v>
      </c>
      <c r="L63" s="712" t="s">
        <v>576</v>
      </c>
      <c r="M63" s="557"/>
    </row>
    <row r="64" spans="4:13">
      <c r="D64" s="446" t="s">
        <v>597</v>
      </c>
      <c r="E64" s="480"/>
      <c r="F64" s="737"/>
      <c r="G64" s="738"/>
      <c r="H64" s="738"/>
      <c r="I64" s="739"/>
      <c r="J64" s="562"/>
      <c r="K64" s="476">
        <f>+BIODIESEL!E10</f>
        <v>4556.53</v>
      </c>
      <c r="L64" s="712" t="s">
        <v>576</v>
      </c>
      <c r="M64" s="557"/>
    </row>
    <row r="65" spans="4:13">
      <c r="D65" s="446" t="s">
        <v>598</v>
      </c>
      <c r="E65" s="480"/>
      <c r="F65" s="737"/>
      <c r="G65" s="738"/>
      <c r="H65" s="738"/>
      <c r="I65" s="739"/>
      <c r="J65" s="562"/>
      <c r="K65" s="476">
        <f>+Variables!E27</f>
        <v>5024.59</v>
      </c>
      <c r="L65" s="712" t="s">
        <v>576</v>
      </c>
      <c r="M65" s="557"/>
    </row>
    <row r="66" spans="4:13">
      <c r="D66" s="446" t="s">
        <v>599</v>
      </c>
      <c r="E66" s="480"/>
      <c r="F66" s="737"/>
      <c r="G66" s="738"/>
      <c r="H66" s="738"/>
      <c r="I66" s="739"/>
      <c r="J66" s="562"/>
      <c r="K66" s="476">
        <f>+K61</f>
        <v>0</v>
      </c>
      <c r="L66" s="709"/>
      <c r="M66" s="557"/>
    </row>
    <row r="67" spans="4:13">
      <c r="D67" s="446" t="s">
        <v>607</v>
      </c>
      <c r="E67" s="480"/>
      <c r="F67" s="737"/>
      <c r="G67" s="738"/>
      <c r="H67" s="738"/>
      <c r="I67" s="739"/>
      <c r="J67" s="562"/>
      <c r="K67" s="476">
        <f>+BIODIESEL!E9</f>
        <v>321.61</v>
      </c>
      <c r="L67" s="712" t="s">
        <v>576</v>
      </c>
      <c r="M67" s="557"/>
    </row>
    <row r="68" spans="4:13">
      <c r="D68" s="446" t="s">
        <v>600</v>
      </c>
      <c r="E68" s="480"/>
      <c r="F68" s="737"/>
      <c r="G68" s="738"/>
      <c r="H68" s="738"/>
      <c r="I68" s="739"/>
      <c r="J68" s="562"/>
      <c r="K68" s="476">
        <f>+BIODIESEL!E8</f>
        <v>4234.92</v>
      </c>
      <c r="L68" s="712" t="s">
        <v>576</v>
      </c>
      <c r="M68" s="557"/>
    </row>
    <row r="69" spans="4:13" s="453" customFormat="1">
      <c r="D69" s="515" t="s">
        <v>612</v>
      </c>
      <c r="E69" s="558"/>
      <c r="F69" s="559"/>
      <c r="G69" s="559"/>
      <c r="H69" s="559"/>
      <c r="I69" s="559" t="s">
        <v>159</v>
      </c>
      <c r="J69" s="560"/>
      <c r="K69" s="561">
        <f>+BIODIESEL!E10</f>
        <v>4556.53</v>
      </c>
      <c r="L69" s="712" t="s">
        <v>576</v>
      </c>
    </row>
    <row r="70" spans="4:13">
      <c r="D70" s="515" t="s">
        <v>614</v>
      </c>
      <c r="E70" s="558"/>
      <c r="F70" s="559"/>
      <c r="G70" s="559"/>
      <c r="H70" s="559"/>
      <c r="I70" s="559"/>
      <c r="J70" s="560"/>
      <c r="K70" s="561">
        <f>+K60</f>
        <v>5024.59</v>
      </c>
      <c r="L70" s="712" t="s">
        <v>576</v>
      </c>
    </row>
    <row r="71" spans="4:13">
      <c r="D71" s="515" t="s">
        <v>615</v>
      </c>
      <c r="E71" s="497"/>
      <c r="F71" s="513"/>
      <c r="G71" s="513"/>
      <c r="H71" s="513"/>
      <c r="I71" s="513"/>
      <c r="J71" s="514"/>
      <c r="K71" s="498">
        <f>+BIODIESEL!E14</f>
        <v>8.3842000000000017</v>
      </c>
      <c r="L71" s="712" t="s">
        <v>576</v>
      </c>
    </row>
    <row r="72" spans="4:13" s="453" customFormat="1">
      <c r="D72" s="515" t="s">
        <v>616</v>
      </c>
      <c r="E72" s="558"/>
      <c r="F72" s="559"/>
      <c r="G72" s="559"/>
      <c r="H72" s="559"/>
      <c r="I72" s="559"/>
      <c r="J72" s="560"/>
      <c r="K72" s="561">
        <v>0</v>
      </c>
      <c r="L72" s="712" t="s">
        <v>576</v>
      </c>
    </row>
    <row r="73" spans="4:13">
      <c r="D73" s="515" t="s">
        <v>617</v>
      </c>
      <c r="E73" s="497"/>
      <c r="F73" s="513"/>
      <c r="G73" s="513"/>
      <c r="H73" s="513"/>
      <c r="I73" s="513"/>
      <c r="J73" s="514"/>
      <c r="K73" s="498">
        <f>+'COMBUSTIBLES '!B7</f>
        <v>4719.72</v>
      </c>
      <c r="L73" s="712" t="s">
        <v>576</v>
      </c>
    </row>
    <row r="74" spans="4:13">
      <c r="D74" s="515" t="s">
        <v>618</v>
      </c>
      <c r="E74" s="497"/>
      <c r="F74" s="513"/>
      <c r="G74" s="513"/>
      <c r="H74" s="513"/>
      <c r="I74" s="513"/>
      <c r="J74" s="514"/>
      <c r="K74" s="498">
        <f>+'SAN-ANDRES + GENERACION'!C8</f>
        <v>4719.72</v>
      </c>
      <c r="L74" s="712" t="s">
        <v>576</v>
      </c>
    </row>
    <row r="75" spans="4:13">
      <c r="D75" s="515" t="s">
        <v>619</v>
      </c>
      <c r="E75" s="497"/>
      <c r="F75" s="513"/>
      <c r="G75" s="513"/>
      <c r="H75" s="513"/>
      <c r="I75" s="513"/>
      <c r="J75" s="514"/>
      <c r="K75" s="498">
        <f>+'COMBUSTIBLES '!B10</f>
        <v>0</v>
      </c>
      <c r="L75" s="709"/>
    </row>
    <row r="76" spans="4:13">
      <c r="D76" s="515" t="s">
        <v>620</v>
      </c>
      <c r="E76" s="497"/>
      <c r="F76" s="513"/>
      <c r="G76" s="513"/>
      <c r="H76" s="513"/>
      <c r="I76" s="513"/>
      <c r="J76" s="514"/>
      <c r="K76" s="498">
        <f>+BIODIESEL!E9</f>
        <v>321.61</v>
      </c>
      <c r="L76" s="712" t="s">
        <v>576</v>
      </c>
    </row>
    <row r="77" spans="4:13">
      <c r="D77" s="515" t="s">
        <v>621</v>
      </c>
      <c r="E77" s="497"/>
      <c r="F77" s="513"/>
      <c r="G77" s="513"/>
      <c r="H77" s="513"/>
      <c r="I77" s="513"/>
      <c r="J77" s="514"/>
      <c r="K77" s="498">
        <f>+'SAN-ANDRES + GENERACION'!F8</f>
        <v>4556.5330000000004</v>
      </c>
      <c r="L77" s="712" t="s">
        <v>576</v>
      </c>
    </row>
    <row r="78" spans="4:13">
      <c r="D78" s="515" t="s">
        <v>622</v>
      </c>
      <c r="E78" s="497"/>
      <c r="F78" s="513"/>
      <c r="G78" s="513"/>
      <c r="H78" s="513"/>
      <c r="I78" s="513"/>
      <c r="J78" s="514"/>
      <c r="K78" s="498">
        <f>+'SAN-ANDRES + GENERACION'!H11</f>
        <v>4234.9230000000007</v>
      </c>
      <c r="L78" s="712" t="s">
        <v>576</v>
      </c>
    </row>
    <row r="79" spans="4:13">
      <c r="D79" s="515" t="s">
        <v>623</v>
      </c>
      <c r="E79" s="497"/>
      <c r="F79" s="513"/>
      <c r="G79" s="513"/>
      <c r="H79" s="513"/>
      <c r="I79" s="513"/>
      <c r="J79" s="514"/>
      <c r="K79" s="498">
        <f>+BIODIESEL!E8</f>
        <v>4234.92</v>
      </c>
      <c r="L79" s="712" t="s">
        <v>576</v>
      </c>
    </row>
    <row r="80" spans="4:13">
      <c r="D80" s="515" t="s">
        <v>624</v>
      </c>
      <c r="E80" s="497"/>
      <c r="F80" s="513"/>
      <c r="G80" s="513"/>
      <c r="H80" s="513"/>
      <c r="I80" s="513"/>
      <c r="J80" s="514"/>
      <c r="K80" s="498">
        <f>+BIODIESEL!E9</f>
        <v>321.61</v>
      </c>
      <c r="L80" s="712" t="s">
        <v>576</v>
      </c>
    </row>
    <row r="81" spans="2:13">
      <c r="D81" s="515" t="s">
        <v>628</v>
      </c>
      <c r="E81" s="497"/>
      <c r="F81" s="513"/>
      <c r="G81" s="513"/>
      <c r="H81" s="513"/>
      <c r="I81" s="513"/>
      <c r="J81" s="514"/>
      <c r="K81" s="498">
        <f>+'SAN-ANDRES + GENERACION'!E8</f>
        <v>4321.3500000000004</v>
      </c>
      <c r="L81" s="712" t="s">
        <v>576</v>
      </c>
      <c r="M81" s="436">
        <v>4272.5</v>
      </c>
    </row>
    <row r="82" spans="2:13">
      <c r="D82" s="577" t="s">
        <v>632</v>
      </c>
      <c r="E82" s="497"/>
      <c r="F82" s="513"/>
      <c r="G82" s="513"/>
      <c r="H82" s="513"/>
      <c r="I82" s="513"/>
      <c r="J82" s="514"/>
      <c r="K82" s="498">
        <f>+BIODIESEL!E10</f>
        <v>4556.53</v>
      </c>
      <c r="L82" s="712" t="s">
        <v>576</v>
      </c>
    </row>
    <row r="83" spans="2:13">
      <c r="D83" s="515" t="s">
        <v>633</v>
      </c>
      <c r="E83" s="497"/>
      <c r="F83" s="513"/>
      <c r="G83" s="513"/>
      <c r="H83" s="513"/>
      <c r="I83" s="513"/>
      <c r="J83" s="514"/>
      <c r="K83" s="498">
        <f>+K70</f>
        <v>5024.59</v>
      </c>
      <c r="L83" s="712" t="s">
        <v>576</v>
      </c>
    </row>
    <row r="84" spans="2:13">
      <c r="D84" s="515" t="s">
        <v>634</v>
      </c>
      <c r="E84" s="497"/>
      <c r="F84" s="513"/>
      <c r="G84" s="513"/>
      <c r="H84" s="513"/>
      <c r="I84" s="513"/>
      <c r="J84" s="514"/>
      <c r="K84" s="498">
        <f>+BIODIESEL!E17</f>
        <v>0</v>
      </c>
      <c r="L84" s="709"/>
    </row>
    <row r="85" spans="2:13">
      <c r="D85" s="515" t="s">
        <v>635</v>
      </c>
      <c r="E85" s="497"/>
      <c r="F85" s="513"/>
      <c r="G85" s="513"/>
      <c r="H85" s="513"/>
      <c r="I85" s="513"/>
      <c r="J85" s="514"/>
      <c r="K85" s="498">
        <f>+BIODIESEL!E9</f>
        <v>321.61</v>
      </c>
      <c r="L85" s="712" t="s">
        <v>576</v>
      </c>
    </row>
    <row r="86" spans="2:13">
      <c r="D86" s="515" t="s">
        <v>636</v>
      </c>
      <c r="E86" s="497"/>
      <c r="F86" s="513"/>
      <c r="G86" s="513"/>
      <c r="H86" s="513"/>
      <c r="I86" s="513"/>
      <c r="J86" s="514"/>
      <c r="K86" s="498">
        <f>+BIODIESEL!E8</f>
        <v>4234.92</v>
      </c>
      <c r="L86" s="712" t="s">
        <v>576</v>
      </c>
    </row>
    <row r="87" spans="2:13" ht="36">
      <c r="B87" s="435">
        <v>2</v>
      </c>
      <c r="D87" s="436" t="s">
        <v>401</v>
      </c>
    </row>
    <row r="89" spans="2:13" ht="21.1">
      <c r="D89" s="438" t="s">
        <v>333</v>
      </c>
      <c r="E89" s="439" t="s">
        <v>334</v>
      </c>
      <c r="F89" s="440" t="s">
        <v>335</v>
      </c>
    </row>
    <row r="90" spans="2:13" ht="21.1">
      <c r="D90" s="438"/>
      <c r="E90" s="439"/>
      <c r="F90" s="440" t="s">
        <v>638</v>
      </c>
    </row>
    <row r="91" spans="2:13">
      <c r="D91" s="443" t="s">
        <v>402</v>
      </c>
      <c r="E91" s="471" t="s">
        <v>403</v>
      </c>
      <c r="F91" s="734" t="s">
        <v>340</v>
      </c>
      <c r="G91" s="734"/>
      <c r="H91" s="734"/>
      <c r="I91" s="734"/>
      <c r="J91" s="734"/>
      <c r="K91" s="468">
        <f>+'COMBUSTIBLES '!D7</f>
        <v>6970</v>
      </c>
    </row>
    <row r="92" spans="2:13">
      <c r="D92" s="443" t="s">
        <v>404</v>
      </c>
      <c r="E92" s="471" t="s">
        <v>405</v>
      </c>
      <c r="F92" s="734" t="s">
        <v>340</v>
      </c>
      <c r="G92" s="734"/>
      <c r="H92" s="734"/>
      <c r="I92" s="734"/>
      <c r="J92" s="734"/>
      <c r="K92" s="468">
        <f>+'COMBUSTIBLES '!G7</f>
        <v>9948</v>
      </c>
    </row>
    <row r="93" spans="2:13">
      <c r="D93" s="442" t="s">
        <v>406</v>
      </c>
      <c r="E93" s="448"/>
      <c r="F93" s="743" t="s">
        <v>407</v>
      </c>
      <c r="G93" s="743"/>
      <c r="H93" s="743"/>
      <c r="I93" s="743"/>
      <c r="J93" s="743"/>
    </row>
    <row r="94" spans="2:13">
      <c r="D94" s="436" t="s">
        <v>552</v>
      </c>
      <c r="E94" s="437" t="s">
        <v>553</v>
      </c>
      <c r="K94" s="491" t="s">
        <v>578</v>
      </c>
    </row>
    <row r="95" spans="2:13" ht="21.1">
      <c r="D95" s="440" t="s">
        <v>408</v>
      </c>
      <c r="E95" s="437" t="s">
        <v>554</v>
      </c>
    </row>
    <row r="96" spans="2:13">
      <c r="D96" s="445" t="s">
        <v>409</v>
      </c>
    </row>
    <row r="97" spans="4:10">
      <c r="D97" s="445" t="s">
        <v>410</v>
      </c>
    </row>
    <row r="98" spans="4:10">
      <c r="D98" s="445"/>
    </row>
    <row r="99" spans="4:10">
      <c r="D99" s="445" t="s">
        <v>411</v>
      </c>
    </row>
    <row r="100" spans="4:10">
      <c r="D100" s="445"/>
    </row>
    <row r="101" spans="4:10">
      <c r="D101" s="445"/>
    </row>
    <row r="102" spans="4:10" ht="21.1">
      <c r="D102" s="438" t="s">
        <v>412</v>
      </c>
    </row>
    <row r="103" spans="4:10">
      <c r="D103" s="445" t="s">
        <v>413</v>
      </c>
    </row>
    <row r="104" spans="4:10">
      <c r="D104" s="445" t="s">
        <v>353</v>
      </c>
    </row>
    <row r="105" spans="4:10">
      <c r="D105" s="436" t="s">
        <v>354</v>
      </c>
    </row>
    <row r="106" spans="4:10">
      <c r="D106" s="436" t="s">
        <v>355</v>
      </c>
    </row>
    <row r="107" spans="4:10">
      <c r="D107" s="457" t="s">
        <v>562</v>
      </c>
    </row>
    <row r="108" spans="4:10">
      <c r="D108" s="436" t="s">
        <v>357</v>
      </c>
    </row>
    <row r="111" spans="4:10" ht="21.1">
      <c r="D111" s="725" t="s">
        <v>358</v>
      </c>
      <c r="E111" s="726" t="s">
        <v>334</v>
      </c>
      <c r="F111" s="727" t="s">
        <v>335</v>
      </c>
      <c r="G111" s="728"/>
      <c r="H111" s="728"/>
      <c r="I111" s="728"/>
      <c r="J111" s="729"/>
    </row>
    <row r="112" spans="4:10" ht="21.1">
      <c r="D112" s="725"/>
      <c r="E112" s="726"/>
      <c r="F112" s="730" t="s">
        <v>359</v>
      </c>
      <c r="G112" s="731"/>
      <c r="H112" s="731"/>
      <c r="I112" s="731"/>
      <c r="J112" s="732"/>
    </row>
    <row r="113" spans="2:12" ht="14.95" customHeight="1">
      <c r="D113" s="449" t="s">
        <v>414</v>
      </c>
      <c r="E113" s="450"/>
      <c r="F113" s="740" t="s">
        <v>415</v>
      </c>
      <c r="G113" s="741"/>
      <c r="H113" s="741"/>
      <c r="I113" s="741"/>
      <c r="J113" s="742"/>
      <c r="K113" s="493">
        <v>6543.55</v>
      </c>
    </row>
    <row r="114" spans="2:12">
      <c r="D114" s="451" t="s">
        <v>416</v>
      </c>
      <c r="E114" s="474">
        <f>+$K$30</f>
        <v>8.3842000000000017</v>
      </c>
      <c r="F114" s="740"/>
      <c r="G114" s="741"/>
      <c r="H114" s="741"/>
      <c r="I114" s="741"/>
      <c r="J114" s="742"/>
      <c r="K114" s="484">
        <v>7.9</v>
      </c>
      <c r="L114" s="484"/>
    </row>
    <row r="115" spans="2:12">
      <c r="D115" s="451" t="s">
        <v>417</v>
      </c>
      <c r="E115" s="474">
        <f>+$K$30</f>
        <v>8.3842000000000017</v>
      </c>
      <c r="F115" s="740"/>
      <c r="G115" s="741"/>
      <c r="H115" s="741"/>
      <c r="I115" s="741"/>
      <c r="J115" s="742"/>
      <c r="K115" s="436">
        <v>7.9</v>
      </c>
      <c r="L115" s="484"/>
    </row>
    <row r="116" spans="2:12">
      <c r="D116" s="451" t="s">
        <v>418</v>
      </c>
      <c r="E116" s="473">
        <v>0</v>
      </c>
      <c r="F116" s="740"/>
      <c r="G116" s="741"/>
      <c r="H116" s="741"/>
      <c r="I116" s="741"/>
      <c r="J116" s="742"/>
      <c r="K116" s="436">
        <v>0</v>
      </c>
      <c r="L116" s="484"/>
    </row>
    <row r="117" spans="2:12">
      <c r="D117" s="449" t="s">
        <v>419</v>
      </c>
      <c r="E117" s="473" t="s">
        <v>420</v>
      </c>
      <c r="F117" s="740" t="s">
        <v>421</v>
      </c>
      <c r="G117" s="741"/>
      <c r="H117" s="741"/>
      <c r="I117" s="741"/>
      <c r="J117" s="742"/>
      <c r="K117" s="455" t="e">
        <f>+#REF!</f>
        <v>#REF!</v>
      </c>
      <c r="L117" s="484"/>
    </row>
    <row r="118" spans="2:12">
      <c r="D118" s="456" t="s">
        <v>542</v>
      </c>
      <c r="E118" s="473"/>
      <c r="F118" s="735" t="s">
        <v>368</v>
      </c>
      <c r="G118" s="735"/>
      <c r="H118" s="735"/>
      <c r="I118" s="735"/>
      <c r="J118" s="735"/>
      <c r="K118" s="490">
        <f>+Variables!E23</f>
        <v>7107.81</v>
      </c>
      <c r="L118" s="484"/>
    </row>
    <row r="119" spans="2:12">
      <c r="D119" s="451"/>
      <c r="E119" s="475"/>
      <c r="F119" s="740"/>
      <c r="G119" s="741"/>
      <c r="H119" s="741"/>
      <c r="I119" s="741"/>
      <c r="J119" s="742"/>
    </row>
    <row r="120" spans="2:12">
      <c r="D120" s="451" t="s">
        <v>422</v>
      </c>
      <c r="E120" s="473" t="s">
        <v>405</v>
      </c>
      <c r="F120" s="740" t="s">
        <v>423</v>
      </c>
      <c r="G120" s="741"/>
      <c r="H120" s="741"/>
      <c r="I120" s="741"/>
      <c r="J120" s="742"/>
      <c r="K120" s="455">
        <f>+'COMBUSTIBLES '!G7</f>
        <v>9948</v>
      </c>
      <c r="L120" s="484"/>
    </row>
    <row r="121" spans="2:12">
      <c r="D121" s="451" t="s">
        <v>424</v>
      </c>
      <c r="E121" s="473">
        <v>0</v>
      </c>
      <c r="F121" s="740"/>
      <c r="G121" s="741"/>
      <c r="H121" s="741"/>
      <c r="I121" s="741"/>
      <c r="J121" s="742"/>
      <c r="K121" s="436">
        <v>0</v>
      </c>
    </row>
    <row r="122" spans="2:12">
      <c r="D122" s="449" t="s">
        <v>425</v>
      </c>
      <c r="E122" s="473"/>
      <c r="F122" s="735" t="s">
        <v>368</v>
      </c>
      <c r="G122" s="735"/>
      <c r="H122" s="735"/>
      <c r="I122" s="735"/>
      <c r="J122" s="735"/>
      <c r="K122" s="492">
        <f>+K118</f>
        <v>7107.81</v>
      </c>
      <c r="L122" s="484"/>
    </row>
    <row r="123" spans="2:12">
      <c r="D123" s="451" t="s">
        <v>426</v>
      </c>
      <c r="E123" s="474">
        <f>+$K$30</f>
        <v>8.3842000000000017</v>
      </c>
      <c r="F123" s="740"/>
      <c r="G123" s="741"/>
      <c r="H123" s="741"/>
      <c r="I123" s="741"/>
      <c r="J123" s="742"/>
      <c r="K123" s="436">
        <v>7.9</v>
      </c>
      <c r="L123" s="484"/>
    </row>
    <row r="124" spans="2:12">
      <c r="D124" s="452" t="s">
        <v>427</v>
      </c>
      <c r="E124" s="473" t="s">
        <v>420</v>
      </c>
      <c r="F124" s="740" t="s">
        <v>421</v>
      </c>
      <c r="G124" s="741"/>
      <c r="H124" s="741"/>
      <c r="I124" s="741"/>
      <c r="J124" s="742"/>
      <c r="K124" s="455" t="e">
        <f>+#REF!</f>
        <v>#REF!</v>
      </c>
      <c r="L124" s="484"/>
    </row>
    <row r="128" spans="2:12" ht="36" outlineLevel="2">
      <c r="B128" s="435">
        <v>3</v>
      </c>
      <c r="D128" s="436" t="s">
        <v>428</v>
      </c>
    </row>
    <row r="129" spans="4:10" outlineLevel="2"/>
    <row r="130" spans="4:10" ht="21.1" outlineLevel="2">
      <c r="D130" s="438" t="s">
        <v>333</v>
      </c>
      <c r="E130" s="439" t="s">
        <v>334</v>
      </c>
      <c r="F130" s="440" t="s">
        <v>335</v>
      </c>
    </row>
    <row r="131" spans="4:10" ht="21.1" outlineLevel="2">
      <c r="D131" s="438"/>
      <c r="E131" s="439"/>
      <c r="F131" s="440" t="s">
        <v>536</v>
      </c>
    </row>
    <row r="132" spans="4:10" outlineLevel="2">
      <c r="D132" s="443" t="s">
        <v>429</v>
      </c>
      <c r="E132" s="441" t="s">
        <v>430</v>
      </c>
      <c r="F132" s="734" t="s">
        <v>431</v>
      </c>
      <c r="G132" s="734"/>
      <c r="H132" s="734"/>
      <c r="I132" s="734"/>
      <c r="J132" s="734"/>
    </row>
    <row r="133" spans="4:10" outlineLevel="2">
      <c r="D133" s="443" t="s">
        <v>432</v>
      </c>
      <c r="E133" s="441" t="s">
        <v>433</v>
      </c>
      <c r="F133" s="734" t="s">
        <v>431</v>
      </c>
      <c r="G133" s="734"/>
      <c r="H133" s="734"/>
      <c r="I133" s="734"/>
      <c r="J133" s="734"/>
    </row>
    <row r="134" spans="4:10" outlineLevel="2"/>
    <row r="135" spans="4:10" outlineLevel="2"/>
    <row r="136" spans="4:10" ht="21.1" outlineLevel="2">
      <c r="D136" s="438" t="s">
        <v>434</v>
      </c>
    </row>
    <row r="137" spans="4:10" outlineLevel="2">
      <c r="D137" s="445" t="s">
        <v>435</v>
      </c>
    </row>
    <row r="138" spans="4:10" outlineLevel="2">
      <c r="D138" s="445" t="s">
        <v>353</v>
      </c>
    </row>
    <row r="139" spans="4:10" outlineLevel="2">
      <c r="D139" s="436" t="s">
        <v>354</v>
      </c>
    </row>
    <row r="140" spans="4:10" outlineLevel="2">
      <c r="D140" s="436" t="s">
        <v>355</v>
      </c>
    </row>
    <row r="141" spans="4:10" outlineLevel="2">
      <c r="D141" s="436" t="s">
        <v>436</v>
      </c>
    </row>
    <row r="142" spans="4:10" outlineLevel="2">
      <c r="D142" s="436" t="s">
        <v>357</v>
      </c>
    </row>
    <row r="143" spans="4:10" outlineLevel="2"/>
    <row r="144" spans="4:10" outlineLevel="2"/>
    <row r="145" spans="4:10" ht="21.1" outlineLevel="2">
      <c r="D145" s="725" t="s">
        <v>358</v>
      </c>
      <c r="E145" s="726" t="s">
        <v>334</v>
      </c>
      <c r="F145" s="727" t="s">
        <v>335</v>
      </c>
      <c r="G145" s="728"/>
      <c r="H145" s="728"/>
      <c r="I145" s="728"/>
      <c r="J145" s="729"/>
    </row>
    <row r="146" spans="4:10" ht="21.1" outlineLevel="2">
      <c r="D146" s="725"/>
      <c r="E146" s="726"/>
      <c r="F146" s="730" t="s">
        <v>437</v>
      </c>
      <c r="G146" s="731"/>
      <c r="H146" s="731"/>
      <c r="I146" s="731"/>
      <c r="J146" s="732"/>
    </row>
    <row r="147" spans="4:10" outlineLevel="2">
      <c r="D147" s="449" t="s">
        <v>438</v>
      </c>
      <c r="E147" s="447" t="s">
        <v>366</v>
      </c>
      <c r="F147" s="734" t="s">
        <v>439</v>
      </c>
      <c r="G147" s="734"/>
      <c r="H147" s="734"/>
      <c r="I147" s="734"/>
      <c r="J147" s="734"/>
    </row>
    <row r="148" spans="4:10" outlineLevel="2">
      <c r="D148" s="449" t="s">
        <v>440</v>
      </c>
      <c r="E148" s="447" t="s">
        <v>380</v>
      </c>
      <c r="F148" s="734" t="s">
        <v>441</v>
      </c>
      <c r="G148" s="734"/>
      <c r="H148" s="734"/>
      <c r="I148" s="734"/>
      <c r="J148" s="734"/>
    </row>
    <row r="149" spans="4:10" outlineLevel="2">
      <c r="D149" s="449" t="s">
        <v>442</v>
      </c>
      <c r="E149" s="447" t="s">
        <v>344</v>
      </c>
      <c r="F149" s="734" t="s">
        <v>443</v>
      </c>
      <c r="G149" s="734"/>
      <c r="H149" s="734"/>
      <c r="I149" s="734"/>
      <c r="J149" s="734"/>
    </row>
    <row r="150" spans="4:10" outlineLevel="2">
      <c r="D150" s="449" t="s">
        <v>444</v>
      </c>
      <c r="E150" s="447" t="s">
        <v>339</v>
      </c>
      <c r="F150" s="734" t="s">
        <v>443</v>
      </c>
      <c r="G150" s="734"/>
      <c r="H150" s="734"/>
      <c r="I150" s="734"/>
      <c r="J150" s="734"/>
    </row>
    <row r="151" spans="4:10" outlineLevel="2">
      <c r="D151" s="449" t="s">
        <v>445</v>
      </c>
      <c r="E151" s="447" t="s">
        <v>390</v>
      </c>
      <c r="F151" s="734" t="s">
        <v>446</v>
      </c>
      <c r="G151" s="734"/>
      <c r="H151" s="734"/>
      <c r="I151" s="734"/>
      <c r="J151" s="734"/>
    </row>
    <row r="152" spans="4:10" outlineLevel="2">
      <c r="D152" s="449" t="s">
        <v>447</v>
      </c>
      <c r="E152" s="447" t="s">
        <v>448</v>
      </c>
      <c r="F152" s="734" t="s">
        <v>446</v>
      </c>
      <c r="G152" s="734"/>
      <c r="H152" s="734"/>
      <c r="I152" s="734"/>
      <c r="J152" s="734"/>
    </row>
    <row r="153" spans="4:10" ht="14.95" customHeight="1" outlineLevel="2">
      <c r="D153" s="449" t="s">
        <v>449</v>
      </c>
      <c r="E153" s="447" t="s">
        <v>450</v>
      </c>
      <c r="F153" s="734" t="s">
        <v>446</v>
      </c>
      <c r="G153" s="734"/>
      <c r="H153" s="734"/>
      <c r="I153" s="734"/>
      <c r="J153" s="734"/>
    </row>
    <row r="154" spans="4:10" ht="14.95" customHeight="1" outlineLevel="2">
      <c r="D154" s="449" t="s">
        <v>451</v>
      </c>
      <c r="E154" s="447" t="s">
        <v>452</v>
      </c>
      <c r="F154" s="734" t="s">
        <v>446</v>
      </c>
      <c r="G154" s="734"/>
      <c r="H154" s="734"/>
      <c r="I154" s="734"/>
      <c r="J154" s="734"/>
    </row>
    <row r="155" spans="4:10" ht="14.95" customHeight="1" outlineLevel="2">
      <c r="D155" s="449" t="s">
        <v>453</v>
      </c>
      <c r="E155" s="447" t="s">
        <v>454</v>
      </c>
      <c r="F155" s="734" t="s">
        <v>446</v>
      </c>
      <c r="G155" s="734"/>
      <c r="H155" s="734"/>
      <c r="I155" s="734"/>
      <c r="J155" s="734"/>
    </row>
    <row r="156" spans="4:10" outlineLevel="2">
      <c r="D156" s="449" t="s">
        <v>455</v>
      </c>
      <c r="E156" s="447" t="s">
        <v>456</v>
      </c>
      <c r="F156" s="734" t="s">
        <v>446</v>
      </c>
      <c r="G156" s="734"/>
      <c r="H156" s="734"/>
      <c r="I156" s="734"/>
      <c r="J156" s="734"/>
    </row>
    <row r="157" spans="4:10" outlineLevel="2">
      <c r="D157" s="449" t="s">
        <v>457</v>
      </c>
      <c r="E157" s="447" t="s">
        <v>344</v>
      </c>
      <c r="F157" s="734" t="s">
        <v>443</v>
      </c>
      <c r="G157" s="734"/>
      <c r="H157" s="734"/>
      <c r="I157" s="734"/>
      <c r="J157" s="734"/>
    </row>
    <row r="158" spans="4:10" outlineLevel="2">
      <c r="D158" s="449" t="s">
        <v>458</v>
      </c>
      <c r="E158" s="447" t="s">
        <v>454</v>
      </c>
      <c r="F158" s="734" t="s">
        <v>459</v>
      </c>
      <c r="G158" s="734"/>
      <c r="H158" s="734"/>
      <c r="I158" s="734"/>
      <c r="J158" s="734"/>
    </row>
    <row r="159" spans="4:10" outlineLevel="2">
      <c r="D159" s="449" t="s">
        <v>460</v>
      </c>
      <c r="E159" s="447" t="s">
        <v>461</v>
      </c>
      <c r="F159" s="734" t="s">
        <v>446</v>
      </c>
      <c r="G159" s="734"/>
      <c r="H159" s="734"/>
      <c r="I159" s="734"/>
      <c r="J159" s="734"/>
    </row>
    <row r="160" spans="4:10" outlineLevel="2">
      <c r="D160" s="449" t="s">
        <v>462</v>
      </c>
      <c r="E160" s="447">
        <v>0</v>
      </c>
      <c r="F160" s="734"/>
      <c r="G160" s="734"/>
      <c r="H160" s="734"/>
      <c r="I160" s="734"/>
      <c r="J160" s="734"/>
    </row>
    <row r="161" spans="2:10" outlineLevel="2">
      <c r="D161" s="449" t="s">
        <v>463</v>
      </c>
      <c r="E161" s="447" t="s">
        <v>464</v>
      </c>
      <c r="F161" s="734" t="s">
        <v>446</v>
      </c>
      <c r="G161" s="734"/>
      <c r="H161" s="734"/>
      <c r="I161" s="734"/>
      <c r="J161" s="734"/>
    </row>
    <row r="162" spans="2:10" outlineLevel="2">
      <c r="D162" s="449" t="s">
        <v>465</v>
      </c>
      <c r="E162" s="447" t="s">
        <v>466</v>
      </c>
      <c r="F162" s="734" t="s">
        <v>446</v>
      </c>
      <c r="G162" s="734"/>
      <c r="H162" s="734"/>
      <c r="I162" s="734"/>
      <c r="J162" s="734"/>
    </row>
    <row r="163" spans="2:10" outlineLevel="2">
      <c r="D163" s="449" t="s">
        <v>467</v>
      </c>
      <c r="E163" s="447" t="s">
        <v>468</v>
      </c>
      <c r="F163" s="734" t="s">
        <v>469</v>
      </c>
      <c r="G163" s="734"/>
      <c r="H163" s="734"/>
      <c r="I163" s="734"/>
      <c r="J163" s="734"/>
    </row>
    <row r="164" spans="2:10" outlineLevel="2">
      <c r="D164" s="449" t="s">
        <v>470</v>
      </c>
      <c r="E164" s="447" t="s">
        <v>471</v>
      </c>
      <c r="F164" s="734" t="s">
        <v>469</v>
      </c>
      <c r="G164" s="734"/>
      <c r="H164" s="734"/>
      <c r="I164" s="734"/>
      <c r="J164" s="734"/>
    </row>
    <row r="165" spans="2:10" outlineLevel="2">
      <c r="D165" s="449" t="s">
        <v>472</v>
      </c>
      <c r="E165" s="447" t="s">
        <v>473</v>
      </c>
      <c r="F165" s="734" t="s">
        <v>469</v>
      </c>
      <c r="G165" s="734"/>
      <c r="H165" s="734"/>
      <c r="I165" s="734"/>
      <c r="J165" s="734"/>
    </row>
    <row r="166" spans="2:10" outlineLevel="2">
      <c r="D166" s="449" t="s">
        <v>474</v>
      </c>
      <c r="E166" s="447" t="s">
        <v>475</v>
      </c>
      <c r="F166" s="734" t="s">
        <v>476</v>
      </c>
      <c r="G166" s="734"/>
      <c r="H166" s="734"/>
      <c r="I166" s="734"/>
      <c r="J166" s="734"/>
    </row>
    <row r="167" spans="2:10" outlineLevel="2">
      <c r="D167" s="449" t="s">
        <v>477</v>
      </c>
      <c r="E167" s="447" t="s">
        <v>478</v>
      </c>
      <c r="F167" s="734" t="s">
        <v>476</v>
      </c>
      <c r="G167" s="734"/>
      <c r="H167" s="734"/>
      <c r="I167" s="734"/>
      <c r="J167" s="734"/>
    </row>
    <row r="168" spans="2:10" outlineLevel="2">
      <c r="D168" s="449" t="s">
        <v>479</v>
      </c>
      <c r="E168" s="447" t="s">
        <v>480</v>
      </c>
      <c r="F168" s="734" t="s">
        <v>476</v>
      </c>
      <c r="G168" s="734"/>
      <c r="H168" s="734"/>
      <c r="I168" s="734"/>
      <c r="J168" s="734"/>
    </row>
    <row r="169" spans="2:10" outlineLevel="2">
      <c r="D169" s="449" t="s">
        <v>481</v>
      </c>
      <c r="E169" s="447" t="s">
        <v>482</v>
      </c>
      <c r="F169" s="734" t="s">
        <v>483</v>
      </c>
      <c r="G169" s="734"/>
      <c r="H169" s="734"/>
      <c r="I169" s="734"/>
      <c r="J169" s="734"/>
    </row>
    <row r="170" spans="2:10" outlineLevel="2">
      <c r="D170" s="449" t="s">
        <v>484</v>
      </c>
      <c r="E170" s="447" t="s">
        <v>430</v>
      </c>
      <c r="F170" s="734" t="s">
        <v>483</v>
      </c>
      <c r="G170" s="734"/>
      <c r="H170" s="734"/>
      <c r="I170" s="734"/>
      <c r="J170" s="734"/>
    </row>
    <row r="171" spans="2:10" outlineLevel="2">
      <c r="D171" s="449" t="s">
        <v>485</v>
      </c>
      <c r="E171" s="447" t="s">
        <v>486</v>
      </c>
      <c r="F171" s="734" t="s">
        <v>483</v>
      </c>
      <c r="G171" s="734"/>
      <c r="H171" s="734"/>
      <c r="I171" s="734"/>
      <c r="J171" s="734"/>
    </row>
    <row r="172" spans="2:10" outlineLevel="2">
      <c r="D172" s="449" t="s">
        <v>487</v>
      </c>
      <c r="E172" s="447">
        <v>0</v>
      </c>
      <c r="F172" s="734"/>
      <c r="G172" s="734"/>
      <c r="H172" s="734"/>
      <c r="I172" s="734"/>
      <c r="J172" s="734"/>
    </row>
    <row r="173" spans="2:10">
      <c r="D173" s="453"/>
      <c r="E173" s="461"/>
    </row>
    <row r="174" spans="2:10">
      <c r="D174" s="453"/>
      <c r="E174" s="461"/>
    </row>
    <row r="175" spans="2:10" ht="36">
      <c r="B175" s="435">
        <v>4</v>
      </c>
      <c r="D175" s="440" t="s">
        <v>488</v>
      </c>
    </row>
    <row r="176" spans="2:10">
      <c r="D176" s="453"/>
    </row>
    <row r="177" spans="4:12">
      <c r="D177" s="453"/>
    </row>
    <row r="178" spans="4:12" ht="21.1">
      <c r="D178" s="438" t="s">
        <v>489</v>
      </c>
    </row>
    <row r="179" spans="4:12">
      <c r="D179" s="445" t="s">
        <v>490</v>
      </c>
    </row>
    <row r="180" spans="4:12">
      <c r="D180" s="445" t="s">
        <v>353</v>
      </c>
    </row>
    <row r="181" spans="4:12">
      <c r="D181" s="436" t="s">
        <v>354</v>
      </c>
    </row>
    <row r="182" spans="4:12">
      <c r="D182" s="436" t="s">
        <v>355</v>
      </c>
    </row>
    <row r="183" spans="4:12">
      <c r="D183" s="436" t="s">
        <v>491</v>
      </c>
    </row>
    <row r="184" spans="4:12">
      <c r="D184" s="436" t="s">
        <v>357</v>
      </c>
    </row>
    <row r="186" spans="4:12">
      <c r="D186" s="453"/>
    </row>
    <row r="187" spans="4:12" ht="21.1">
      <c r="D187" s="725" t="s">
        <v>358</v>
      </c>
      <c r="E187" s="726" t="s">
        <v>334</v>
      </c>
      <c r="F187" s="727" t="s">
        <v>335</v>
      </c>
      <c r="G187" s="728"/>
      <c r="H187" s="728"/>
      <c r="I187" s="728"/>
      <c r="J187" s="729"/>
    </row>
    <row r="188" spans="4:12" ht="21.1">
      <c r="D188" s="725"/>
      <c r="E188" s="726"/>
      <c r="F188" s="730" t="s">
        <v>537</v>
      </c>
      <c r="G188" s="731"/>
      <c r="H188" s="731"/>
      <c r="I188" s="731"/>
      <c r="J188" s="732"/>
    </row>
    <row r="189" spans="4:12">
      <c r="D189" s="668" t="s">
        <v>492</v>
      </c>
      <c r="E189" s="480" t="s">
        <v>380</v>
      </c>
      <c r="F189" s="734" t="s">
        <v>441</v>
      </c>
      <c r="G189" s="734"/>
      <c r="H189" s="734"/>
      <c r="I189" s="734"/>
      <c r="J189" s="734"/>
      <c r="K189" s="455">
        <f>+BIODIESEL!E9</f>
        <v>321.61</v>
      </c>
      <c r="L189" s="710" t="s">
        <v>576</v>
      </c>
    </row>
    <row r="190" spans="4:12">
      <c r="D190" s="449" t="s">
        <v>493</v>
      </c>
      <c r="E190" s="480" t="s">
        <v>347</v>
      </c>
      <c r="F190" s="734" t="s">
        <v>441</v>
      </c>
      <c r="G190" s="734"/>
      <c r="H190" s="734"/>
      <c r="I190" s="734"/>
      <c r="J190" s="734"/>
      <c r="K190" s="455">
        <f>+BIODIESEL!E10</f>
        <v>4556.53</v>
      </c>
      <c r="L190" s="710" t="s">
        <v>576</v>
      </c>
    </row>
    <row r="191" spans="4:12">
      <c r="D191" s="449" t="s">
        <v>494</v>
      </c>
      <c r="E191" s="480" t="s">
        <v>366</v>
      </c>
      <c r="F191" s="734" t="s">
        <v>441</v>
      </c>
      <c r="G191" s="734"/>
      <c r="H191" s="734"/>
      <c r="I191" s="734"/>
      <c r="J191" s="734"/>
      <c r="K191" s="455">
        <f>+BIODIESEL!E8</f>
        <v>4234.92</v>
      </c>
      <c r="L191" s="710" t="s">
        <v>576</v>
      </c>
    </row>
    <row r="192" spans="4:12">
      <c r="D192" s="446" t="s">
        <v>495</v>
      </c>
      <c r="E192" s="480">
        <v>7.67</v>
      </c>
      <c r="F192" s="745"/>
      <c r="G192" s="745"/>
      <c r="H192" s="745"/>
      <c r="I192" s="745"/>
      <c r="J192" s="745"/>
      <c r="K192" s="479"/>
    </row>
    <row r="193" spans="2:12">
      <c r="D193" s="449" t="s">
        <v>496</v>
      </c>
      <c r="E193" s="480" t="s">
        <v>339</v>
      </c>
      <c r="F193" s="734" t="s">
        <v>443</v>
      </c>
      <c r="G193" s="734"/>
      <c r="H193" s="734"/>
      <c r="I193" s="734"/>
      <c r="J193" s="734"/>
      <c r="K193" s="455">
        <f>+'COMBUSTIBLES '!E7</f>
        <v>4321.3500000000004</v>
      </c>
      <c r="L193" s="500" t="s">
        <v>574</v>
      </c>
    </row>
    <row r="194" spans="2:12">
      <c r="D194" s="449" t="s">
        <v>497</v>
      </c>
      <c r="E194" s="480" t="s">
        <v>349</v>
      </c>
      <c r="F194" s="734" t="s">
        <v>441</v>
      </c>
      <c r="G194" s="734"/>
      <c r="H194" s="734"/>
      <c r="I194" s="734"/>
      <c r="J194" s="734"/>
      <c r="K194" s="455">
        <f>+BIODIESEL!F10</f>
        <v>4791.72</v>
      </c>
      <c r="L194" s="500" t="s">
        <v>574</v>
      </c>
    </row>
    <row r="195" spans="2:12">
      <c r="D195" s="446" t="s">
        <v>498</v>
      </c>
      <c r="E195" s="480">
        <v>7.67</v>
      </c>
      <c r="F195" s="737"/>
      <c r="G195" s="738"/>
      <c r="H195" s="738"/>
      <c r="I195" s="738"/>
      <c r="J195" s="739"/>
      <c r="K195" s="479"/>
    </row>
    <row r="196" spans="2:12">
      <c r="D196" s="449" t="s">
        <v>499</v>
      </c>
      <c r="E196" s="480" t="s">
        <v>390</v>
      </c>
      <c r="F196" s="734" t="s">
        <v>441</v>
      </c>
      <c r="G196" s="734"/>
      <c r="H196" s="734"/>
      <c r="I196" s="734"/>
      <c r="J196" s="734"/>
      <c r="K196" s="455">
        <f>+BIODIESEL!F8</f>
        <v>4148.5</v>
      </c>
      <c r="L196" s="500" t="s">
        <v>574</v>
      </c>
    </row>
    <row r="197" spans="2:12">
      <c r="D197" s="449" t="s">
        <v>500</v>
      </c>
      <c r="E197" s="480" t="s">
        <v>392</v>
      </c>
      <c r="F197" s="734" t="s">
        <v>441</v>
      </c>
      <c r="G197" s="734"/>
      <c r="H197" s="734"/>
      <c r="I197" s="734"/>
      <c r="J197" s="734"/>
      <c r="K197" s="455">
        <f>+BIODIESEL!F9</f>
        <v>643.22</v>
      </c>
      <c r="L197" s="500" t="s">
        <v>574</v>
      </c>
    </row>
    <row r="198" spans="2:12">
      <c r="E198" s="462"/>
    </row>
    <row r="199" spans="2:12">
      <c r="E199" s="461"/>
    </row>
    <row r="201" spans="2:12" ht="36">
      <c r="B201" s="435">
        <v>5</v>
      </c>
      <c r="D201" s="440" t="s">
        <v>501</v>
      </c>
    </row>
    <row r="203" spans="2:12" ht="21.1">
      <c r="D203" s="438" t="s">
        <v>502</v>
      </c>
    </row>
    <row r="204" spans="2:12">
      <c r="D204" s="444" t="s">
        <v>556</v>
      </c>
    </row>
    <row r="205" spans="2:12">
      <c r="D205" s="436" t="s">
        <v>549</v>
      </c>
    </row>
    <row r="206" spans="2:12">
      <c r="D206" s="436" t="s">
        <v>557</v>
      </c>
    </row>
    <row r="207" spans="2:12">
      <c r="D207" s="445" t="s">
        <v>503</v>
      </c>
    </row>
    <row r="208" spans="2:12">
      <c r="D208" s="445" t="s">
        <v>353</v>
      </c>
    </row>
    <row r="209" spans="4:20">
      <c r="D209" s="436" t="s">
        <v>354</v>
      </c>
    </row>
    <row r="210" spans="4:20">
      <c r="D210" s="436" t="s">
        <v>355</v>
      </c>
    </row>
    <row r="211" spans="4:20">
      <c r="D211" s="436" t="s">
        <v>491</v>
      </c>
    </row>
    <row r="212" spans="4:20">
      <c r="D212" s="436" t="s">
        <v>357</v>
      </c>
    </row>
    <row r="215" spans="4:20" ht="21.1">
      <c r="D215" s="733" t="s">
        <v>333</v>
      </c>
      <c r="E215" s="726" t="s">
        <v>334</v>
      </c>
      <c r="F215" s="727" t="s">
        <v>335</v>
      </c>
      <c r="G215" s="728"/>
      <c r="H215" s="728"/>
      <c r="I215" s="728"/>
      <c r="J215" s="728"/>
      <c r="K215" s="729"/>
    </row>
    <row r="216" spans="4:20" ht="21.1">
      <c r="D216" s="733"/>
      <c r="E216" s="726"/>
      <c r="F216" s="730" t="s">
        <v>336</v>
      </c>
      <c r="G216" s="731"/>
      <c r="H216" s="731"/>
      <c r="I216" s="731"/>
      <c r="J216" s="731"/>
      <c r="K216" s="732"/>
    </row>
    <row r="217" spans="4:20">
      <c r="D217" s="451" t="s">
        <v>504</v>
      </c>
      <c r="E217" s="480" t="s">
        <v>505</v>
      </c>
      <c r="F217" s="736" t="s">
        <v>506</v>
      </c>
      <c r="G217" s="736"/>
      <c r="H217" s="736"/>
      <c r="I217" s="736"/>
      <c r="J217" s="736"/>
      <c r="K217" s="478"/>
    </row>
    <row r="218" spans="4:20">
      <c r="D218" s="449" t="s">
        <v>507</v>
      </c>
      <c r="E218" s="480" t="s">
        <v>508</v>
      </c>
      <c r="F218" s="734" t="s">
        <v>506</v>
      </c>
      <c r="G218" s="734"/>
      <c r="H218" s="734"/>
      <c r="I218" s="734"/>
      <c r="J218" s="734"/>
      <c r="K218" s="477" t="e">
        <f>+#REF!</f>
        <v>#REF!</v>
      </c>
      <c r="L218" s="660"/>
    </row>
    <row r="219" spans="4:20">
      <c r="D219" s="449" t="s">
        <v>509</v>
      </c>
      <c r="E219" s="480" t="s">
        <v>508</v>
      </c>
      <c r="F219" s="734" t="s">
        <v>506</v>
      </c>
      <c r="G219" s="734"/>
      <c r="H219" s="734"/>
      <c r="I219" s="734"/>
      <c r="J219" s="734"/>
      <c r="K219" s="477" t="e">
        <f>+#REF!</f>
        <v>#REF!</v>
      </c>
      <c r="L219" s="676" t="s">
        <v>576</v>
      </c>
    </row>
    <row r="220" spans="4:20">
      <c r="D220" s="446" t="s">
        <v>510</v>
      </c>
      <c r="E220" s="480" t="s">
        <v>511</v>
      </c>
      <c r="F220" s="734" t="s">
        <v>506</v>
      </c>
      <c r="G220" s="734"/>
      <c r="H220" s="734"/>
      <c r="I220" s="734"/>
      <c r="J220" s="734"/>
      <c r="K220" s="477" t="e">
        <f>+#REF!</f>
        <v>#REF!</v>
      </c>
      <c r="L220" s="676" t="s">
        <v>576</v>
      </c>
      <c r="T220" s="436" t="s">
        <v>555</v>
      </c>
    </row>
    <row r="221" spans="4:20">
      <c r="D221" s="446" t="s">
        <v>512</v>
      </c>
      <c r="E221" s="480" t="s">
        <v>513</v>
      </c>
      <c r="F221" s="734" t="s">
        <v>506</v>
      </c>
      <c r="G221" s="734"/>
      <c r="H221" s="734"/>
      <c r="I221" s="734"/>
      <c r="J221" s="734"/>
      <c r="K221" s="477" t="e">
        <f>+#REF!</f>
        <v>#REF!</v>
      </c>
      <c r="L221" s="676" t="s">
        <v>576</v>
      </c>
    </row>
    <row r="222" spans="4:20">
      <c r="D222" s="446" t="s">
        <v>587</v>
      </c>
      <c r="E222" s="480"/>
      <c r="F222" s="734" t="s">
        <v>506</v>
      </c>
      <c r="G222" s="734"/>
      <c r="H222" s="734"/>
      <c r="I222" s="734"/>
      <c r="J222" s="734"/>
      <c r="K222" s="477">
        <f>+'DIESEL MARINO'!F109</f>
        <v>993.91049999999996</v>
      </c>
      <c r="L222" s="676" t="s">
        <v>576</v>
      </c>
    </row>
    <row r="223" spans="4:20" ht="15.8" customHeight="1">
      <c r="D223" s="446" t="s">
        <v>588</v>
      </c>
      <c r="E223" s="480"/>
      <c r="F223" s="734" t="s">
        <v>506</v>
      </c>
      <c r="G223" s="734"/>
      <c r="H223" s="734"/>
      <c r="I223" s="734"/>
      <c r="J223" s="734"/>
      <c r="K223" s="477">
        <f>+'DIESEL MARINO'!F110</f>
        <v>974.02688999999964</v>
      </c>
      <c r="L223" s="676" t="s">
        <v>576</v>
      </c>
    </row>
    <row r="224" spans="4:20" ht="15.8" customHeight="1">
      <c r="D224" s="579"/>
      <c r="E224" s="497"/>
      <c r="F224" s="514"/>
      <c r="G224" s="514"/>
      <c r="H224" s="514"/>
      <c r="I224" s="514"/>
      <c r="J224" s="514"/>
      <c r="K224" s="580"/>
      <c r="L224" s="500"/>
    </row>
    <row r="225" spans="2:10">
      <c r="E225" s="461"/>
    </row>
    <row r="226" spans="2:10" ht="36">
      <c r="B226" s="435">
        <v>6</v>
      </c>
      <c r="D226" s="440" t="s">
        <v>514</v>
      </c>
      <c r="E226" s="461"/>
    </row>
    <row r="228" spans="2:10" ht="21.1">
      <c r="D228" s="438" t="s">
        <v>515</v>
      </c>
    </row>
    <row r="229" spans="2:10">
      <c r="D229" s="445" t="s">
        <v>516</v>
      </c>
    </row>
    <row r="230" spans="2:10">
      <c r="D230" s="445" t="s">
        <v>353</v>
      </c>
    </row>
    <row r="231" spans="2:10">
      <c r="D231" s="436" t="s">
        <v>354</v>
      </c>
    </row>
    <row r="232" spans="2:10">
      <c r="D232" s="436" t="s">
        <v>355</v>
      </c>
    </row>
    <row r="233" spans="2:10">
      <c r="D233" s="436" t="s">
        <v>491</v>
      </c>
    </row>
    <row r="234" spans="2:10">
      <c r="D234" s="436" t="s">
        <v>357</v>
      </c>
    </row>
    <row r="236" spans="2:10" ht="21.1">
      <c r="D236" s="725" t="s">
        <v>358</v>
      </c>
      <c r="E236" s="726" t="s">
        <v>334</v>
      </c>
      <c r="F236" s="727" t="s">
        <v>335</v>
      </c>
      <c r="G236" s="728"/>
      <c r="H236" s="728"/>
      <c r="I236" s="728"/>
      <c r="J236" s="729"/>
    </row>
    <row r="237" spans="2:10" ht="21.1">
      <c r="D237" s="725"/>
      <c r="E237" s="726"/>
      <c r="F237" s="730" t="s">
        <v>437</v>
      </c>
      <c r="G237" s="731"/>
      <c r="H237" s="731"/>
      <c r="I237" s="731"/>
      <c r="J237" s="732"/>
    </row>
    <row r="238" spans="2:10">
      <c r="D238" s="451" t="s">
        <v>517</v>
      </c>
      <c r="E238" s="447" t="s">
        <v>518</v>
      </c>
      <c r="F238" s="734" t="s">
        <v>519</v>
      </c>
      <c r="G238" s="734"/>
      <c r="H238" s="734"/>
      <c r="I238" s="734"/>
      <c r="J238" s="734"/>
    </row>
    <row r="239" spans="2:10">
      <c r="D239" s="449" t="s">
        <v>520</v>
      </c>
      <c r="E239" s="447" t="s">
        <v>468</v>
      </c>
      <c r="F239" s="734" t="s">
        <v>519</v>
      </c>
      <c r="G239" s="734"/>
      <c r="H239" s="734"/>
      <c r="I239" s="734"/>
      <c r="J239" s="734"/>
    </row>
    <row r="240" spans="2:10">
      <c r="D240" s="449" t="s">
        <v>521</v>
      </c>
      <c r="E240" s="447" t="s">
        <v>454</v>
      </c>
      <c r="F240" s="734" t="s">
        <v>519</v>
      </c>
      <c r="G240" s="734"/>
      <c r="H240" s="734"/>
      <c r="I240" s="734"/>
      <c r="J240" s="734"/>
    </row>
    <row r="241" spans="2:5">
      <c r="E241" s="436"/>
    </row>
    <row r="243" spans="2:5" ht="36">
      <c r="B243" s="435">
        <v>7</v>
      </c>
      <c r="D243" s="440" t="s">
        <v>522</v>
      </c>
    </row>
    <row r="245" spans="2:5" ht="21.1">
      <c r="D245" s="438" t="s">
        <v>523</v>
      </c>
    </row>
    <row r="246" spans="2:5">
      <c r="D246" s="445" t="s">
        <v>524</v>
      </c>
    </row>
    <row r="247" spans="2:5">
      <c r="D247" s="445" t="s">
        <v>353</v>
      </c>
    </row>
    <row r="248" spans="2:5">
      <c r="D248" s="436" t="s">
        <v>354</v>
      </c>
    </row>
    <row r="249" spans="2:5">
      <c r="D249" s="436" t="s">
        <v>355</v>
      </c>
    </row>
    <row r="250" spans="2:5">
      <c r="D250" s="436" t="s">
        <v>491</v>
      </c>
    </row>
    <row r="251" spans="2:5" ht="21.1">
      <c r="D251" s="463" t="s">
        <v>525</v>
      </c>
    </row>
    <row r="255" spans="2:5" ht="36">
      <c r="B255" s="435">
        <v>8</v>
      </c>
      <c r="D255" s="440" t="s">
        <v>526</v>
      </c>
    </row>
    <row r="257" spans="4:12" ht="21.1">
      <c r="D257" s="438" t="s">
        <v>527</v>
      </c>
    </row>
    <row r="258" spans="4:12">
      <c r="D258" s="445" t="s">
        <v>528</v>
      </c>
    </row>
    <row r="259" spans="4:12">
      <c r="D259" s="445" t="s">
        <v>353</v>
      </c>
    </row>
    <row r="260" spans="4:12">
      <c r="D260" s="436" t="s">
        <v>354</v>
      </c>
    </row>
    <row r="261" spans="4:12">
      <c r="D261" s="436" t="s">
        <v>355</v>
      </c>
    </row>
    <row r="262" spans="4:12">
      <c r="D262" s="436" t="s">
        <v>491</v>
      </c>
    </row>
    <row r="263" spans="4:12">
      <c r="D263" s="436" t="s">
        <v>357</v>
      </c>
    </row>
    <row r="264" spans="4:12">
      <c r="D264" s="444"/>
    </row>
    <row r="266" spans="4:12" ht="21.1">
      <c r="D266" s="733" t="s">
        <v>333</v>
      </c>
      <c r="E266" s="726" t="s">
        <v>334</v>
      </c>
      <c r="F266" s="727" t="s">
        <v>335</v>
      </c>
      <c r="G266" s="728"/>
      <c r="H266" s="728"/>
      <c r="I266" s="728"/>
      <c r="J266" s="728"/>
      <c r="K266" s="729"/>
    </row>
    <row r="267" spans="4:12" ht="21.1">
      <c r="D267" s="733"/>
      <c r="E267" s="726"/>
      <c r="F267" s="730" t="s">
        <v>336</v>
      </c>
      <c r="G267" s="731"/>
      <c r="H267" s="731"/>
      <c r="I267" s="731"/>
      <c r="J267" s="731"/>
      <c r="K267" s="732"/>
    </row>
    <row r="268" spans="4:12">
      <c r="D268" s="451" t="s">
        <v>529</v>
      </c>
      <c r="E268" s="469" t="s">
        <v>372</v>
      </c>
      <c r="F268" s="734" t="s">
        <v>340</v>
      </c>
      <c r="G268" s="734"/>
      <c r="H268" s="734"/>
      <c r="I268" s="734"/>
      <c r="J268" s="734"/>
      <c r="K268" s="464">
        <f>+'COMBUSTIBLES '!B8</f>
        <v>8.3842000000000017</v>
      </c>
      <c r="L268" s="487" t="s">
        <v>576</v>
      </c>
    </row>
    <row r="269" spans="4:12">
      <c r="D269" s="449" t="s">
        <v>530</v>
      </c>
      <c r="E269" s="480" t="s">
        <v>344</v>
      </c>
      <c r="F269" s="734" t="s">
        <v>340</v>
      </c>
      <c r="G269" s="734"/>
      <c r="H269" s="734"/>
      <c r="I269" s="734"/>
      <c r="J269" s="734"/>
      <c r="K269" s="464">
        <f>+'COMBUSTIBLES '!B7</f>
        <v>4719.72</v>
      </c>
      <c r="L269" s="487" t="s">
        <v>576</v>
      </c>
    </row>
    <row r="270" spans="4:12">
      <c r="D270" s="449" t="s">
        <v>531</v>
      </c>
      <c r="E270" s="480"/>
      <c r="F270" s="735" t="s">
        <v>368</v>
      </c>
      <c r="G270" s="735"/>
      <c r="H270" s="735"/>
      <c r="I270" s="735"/>
      <c r="J270" s="735"/>
      <c r="K270" s="490">
        <f>+Variables!E20</f>
        <v>5078.7700000000004</v>
      </c>
      <c r="L270" s="487" t="s">
        <v>576</v>
      </c>
    </row>
    <row r="271" spans="4:12">
      <c r="E271" s="461"/>
    </row>
    <row r="272" spans="4:12">
      <c r="E272" s="461"/>
    </row>
    <row r="273" spans="2:5">
      <c r="E273" s="461"/>
    </row>
    <row r="274" spans="2:5" ht="36">
      <c r="B274" s="435">
        <v>9</v>
      </c>
      <c r="D274" s="440" t="s">
        <v>532</v>
      </c>
      <c r="E274" s="461"/>
    </row>
    <row r="275" spans="2:5">
      <c r="E275" s="461"/>
    </row>
    <row r="276" spans="2:5" ht="21.1">
      <c r="D276" s="438" t="s">
        <v>533</v>
      </c>
    </row>
    <row r="277" spans="2:5">
      <c r="D277" s="445" t="s">
        <v>534</v>
      </c>
    </row>
    <row r="278" spans="2:5">
      <c r="D278" s="445" t="s">
        <v>353</v>
      </c>
    </row>
    <row r="279" spans="2:5">
      <c r="D279" s="436" t="s">
        <v>354</v>
      </c>
    </row>
    <row r="280" spans="2:5">
      <c r="D280" s="436" t="s">
        <v>355</v>
      </c>
    </row>
    <row r="281" spans="2:5">
      <c r="D281" s="436" t="s">
        <v>491</v>
      </c>
    </row>
    <row r="282" spans="2:5" ht="21.1">
      <c r="D282" s="463" t="s">
        <v>543</v>
      </c>
    </row>
    <row r="284" spans="2:5">
      <c r="D284" s="444"/>
    </row>
    <row r="289" spans="2:6" ht="23.8">
      <c r="B289" s="436" t="s">
        <v>567</v>
      </c>
      <c r="D289" s="454" t="s">
        <v>535</v>
      </c>
      <c r="E289" s="483" t="s">
        <v>572</v>
      </c>
      <c r="F289" s="465" t="s">
        <v>561</v>
      </c>
    </row>
    <row r="291" spans="2:6">
      <c r="B291" s="436" t="s">
        <v>544</v>
      </c>
      <c r="C291" s="436">
        <v>1</v>
      </c>
      <c r="D291" s="467" t="str">
        <f>CONCATENATE("PRECIO REGULADOS"," ",$E$289)</f>
        <v>PRECIO REGULADOS FEB 1 A FEB 28  2019</v>
      </c>
      <c r="E291" s="461"/>
    </row>
    <row r="292" spans="2:6">
      <c r="D292" s="466" t="s">
        <v>546</v>
      </c>
      <c r="E292" s="461"/>
    </row>
    <row r="293" spans="2:6">
      <c r="D293" s="466"/>
      <c r="E293" s="461"/>
    </row>
    <row r="294" spans="2:6">
      <c r="B294" s="436" t="s">
        <v>545</v>
      </c>
      <c r="C294" s="436">
        <v>2</v>
      </c>
      <c r="D294" s="472" t="str">
        <f>CONCATENATE("PRECIO NO REGULADOS"," ",$E$289)</f>
        <v>PRECIO NO REGULADOS FEB 1 A FEB 28  2019</v>
      </c>
      <c r="E294" s="485" t="s">
        <v>159</v>
      </c>
    </row>
    <row r="295" spans="2:6">
      <c r="D295" s="466" t="s">
        <v>547</v>
      </c>
      <c r="E295" s="461"/>
    </row>
    <row r="296" spans="2:6">
      <c r="D296" s="466"/>
      <c r="E296" s="461"/>
    </row>
    <row r="297" spans="2:6">
      <c r="B297" s="482" t="s">
        <v>568</v>
      </c>
      <c r="C297" s="436">
        <v>3</v>
      </c>
      <c r="D297" s="467" t="str">
        <f>CONCATENATE("PRECIO ZONAS DE FRONTERA "," ",$E$289)</f>
        <v>PRECIO ZONAS DE FRONTERA  FEB 1 A FEB 28  2019</v>
      </c>
      <c r="E297" s="461"/>
    </row>
    <row r="298" spans="2:6">
      <c r="D298" s="466" t="s">
        <v>546</v>
      </c>
      <c r="E298" s="461"/>
    </row>
    <row r="299" spans="2:6">
      <c r="D299" s="466"/>
      <c r="E299" s="461"/>
    </row>
    <row r="300" spans="2:6">
      <c r="B300" s="436" t="s">
        <v>548</v>
      </c>
      <c r="C300" s="436">
        <v>4</v>
      </c>
      <c r="D300" s="467" t="str">
        <f>CONCATENATE("PRECIO ELECTROCOMBUSTIBLE  ",," ",$E$289)</f>
        <v>PRECIO ELECTROCOMBUSTIBLE   FEB 1 A FEB 28  2019</v>
      </c>
      <c r="E300" s="461"/>
    </row>
    <row r="301" spans="2:6">
      <c r="D301" s="466" t="s">
        <v>546</v>
      </c>
      <c r="E301" s="461"/>
    </row>
    <row r="302" spans="2:6">
      <c r="D302" s="466"/>
      <c r="E302" s="461"/>
    </row>
    <row r="303" spans="2:6">
      <c r="B303" s="436" t="s">
        <v>549</v>
      </c>
      <c r="C303" s="436">
        <v>5</v>
      </c>
      <c r="D303" s="467" t="str">
        <f>CONCATENATE("PRECIO DESCUENTO PESQUEROS "," ",$E$289)</f>
        <v>PRECIO DESCUENTO PESQUEROS  FEB 1 A FEB 28  2019</v>
      </c>
      <c r="E303" s="461"/>
    </row>
    <row r="304" spans="2:6">
      <c r="D304" s="466" t="s">
        <v>546</v>
      </c>
      <c r="E304" s="461"/>
    </row>
    <row r="305" spans="2:5">
      <c r="D305" s="466"/>
      <c r="E305" s="461"/>
    </row>
    <row r="306" spans="2:5">
      <c r="B306" s="182" t="s">
        <v>569</v>
      </c>
      <c r="C306" s="436">
        <v>6</v>
      </c>
      <c r="D306" s="467" t="str">
        <f>CONCATENATE("PRECIO ESPECIAL GUAJIRA "," ",$E$289)</f>
        <v>PRECIO ESPECIAL GUAJIRA  FEB 1 A FEB 28  2019</v>
      </c>
      <c r="E306" s="461"/>
    </row>
    <row r="307" spans="2:5">
      <c r="D307" s="466" t="s">
        <v>546</v>
      </c>
      <c r="E307" s="461"/>
    </row>
    <row r="308" spans="2:5">
      <c r="D308" s="466"/>
      <c r="E308" s="461"/>
    </row>
    <row r="309" spans="2:5">
      <c r="B309" s="436" t="s">
        <v>550</v>
      </c>
      <c r="C309" s="436">
        <v>7</v>
      </c>
      <c r="D309" s="472" t="str">
        <f>CONCATENATE("PRECIO ESTRUCTURA TARIFA BIOS "," ",$E$289)</f>
        <v>PRECIO ESTRUCTURA TARIFA BIOS  FEB 1 A FEB 28  2019</v>
      </c>
      <c r="E309" s="461" t="s">
        <v>566</v>
      </c>
    </row>
    <row r="310" spans="2:5">
      <c r="D310" s="466" t="s">
        <v>546</v>
      </c>
      <c r="E310" s="461"/>
    </row>
    <row r="311" spans="2:5">
      <c r="D311" s="466"/>
      <c r="E311" s="461"/>
    </row>
    <row r="312" spans="2:5">
      <c r="B312" s="436" t="s">
        <v>551</v>
      </c>
      <c r="C312" s="436">
        <v>8</v>
      </c>
      <c r="D312" s="467" t="str">
        <f>CONCATENATE("PRECIO GASOLINA  IMPORTADA "," ",$E$289)</f>
        <v>PRECIO GASOLINA  IMPORTADA  FEB 1 A FEB 28  2019</v>
      </c>
      <c r="E312" s="461"/>
    </row>
    <row r="313" spans="2:5">
      <c r="D313" s="466" t="s">
        <v>546</v>
      </c>
      <c r="E313" s="461"/>
    </row>
    <row r="314" spans="2:5">
      <c r="D314" s="466"/>
      <c r="E314" s="461"/>
    </row>
    <row r="315" spans="2:5">
      <c r="B315" s="482" t="s">
        <v>570</v>
      </c>
      <c r="C315" s="436">
        <v>9</v>
      </c>
      <c r="D315" s="472" t="str">
        <f>CONCATENATE("BALANCE VOLUMETRICO REFICAR A ",," ",$E$289)</f>
        <v>BALANCE VOLUMETRICO REFICAR A  FEB 1 A FEB 28  2019</v>
      </c>
      <c r="E315" s="461" t="s">
        <v>566</v>
      </c>
    </row>
    <row r="316" spans="2:5">
      <c r="D316" s="466" t="s">
        <v>546</v>
      </c>
    </row>
  </sheetData>
  <autoFilter ref="D14:L87" xr:uid="{00000000-0009-0000-0000-000000000000}">
    <filterColumn colId="2" showButton="0"/>
    <filterColumn colId="3" showButton="0"/>
    <filterColumn colId="4" showButton="0"/>
    <filterColumn colId="5" showButton="0"/>
  </autoFilter>
  <mergeCells count="147">
    <mergeCell ref="D236:D237"/>
    <mergeCell ref="E236:E237"/>
    <mergeCell ref="F236:J236"/>
    <mergeCell ref="F237:J237"/>
    <mergeCell ref="D266:D267"/>
    <mergeCell ref="E266:E267"/>
    <mergeCell ref="F266:K266"/>
    <mergeCell ref="F267:K267"/>
    <mergeCell ref="F240:J240"/>
    <mergeCell ref="F268:J268"/>
    <mergeCell ref="F269:J269"/>
    <mergeCell ref="F270:J270"/>
    <mergeCell ref="F218:J218"/>
    <mergeCell ref="F219:J219"/>
    <mergeCell ref="F220:J220"/>
    <mergeCell ref="F221:J221"/>
    <mergeCell ref="F238:J238"/>
    <mergeCell ref="F239:J239"/>
    <mergeCell ref="F222:J222"/>
    <mergeCell ref="F223:J223"/>
    <mergeCell ref="F193:J193"/>
    <mergeCell ref="F194:J194"/>
    <mergeCell ref="F195:J195"/>
    <mergeCell ref="F196:J196"/>
    <mergeCell ref="F197:J197"/>
    <mergeCell ref="F217:J217"/>
    <mergeCell ref="F171:J171"/>
    <mergeCell ref="F172:J172"/>
    <mergeCell ref="F189:J189"/>
    <mergeCell ref="F190:J190"/>
    <mergeCell ref="F191:J191"/>
    <mergeCell ref="F192:J19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D14:D15"/>
    <mergeCell ref="E14:E15"/>
    <mergeCell ref="F14:J14"/>
    <mergeCell ref="F15:J15"/>
    <mergeCell ref="F22:J22"/>
    <mergeCell ref="F23:J23"/>
    <mergeCell ref="F24:J24"/>
    <mergeCell ref="F16:J16"/>
    <mergeCell ref="F17:J17"/>
    <mergeCell ref="F18:J18"/>
    <mergeCell ref="F19:J19"/>
    <mergeCell ref="F20:J20"/>
    <mergeCell ref="F21:J21"/>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R42"/>
  <sheetViews>
    <sheetView showGridLines="0" zoomScale="80" zoomScaleNormal="80" workbookViewId="0">
      <selection activeCell="L16" sqref="L16"/>
    </sheetView>
  </sheetViews>
  <sheetFormatPr baseColWidth="10" defaultColWidth="9.875" defaultRowHeight="13.6"/>
  <cols>
    <col min="1" max="1" width="9.875" style="11"/>
    <col min="2" max="2" width="47.875" style="11" customWidth="1"/>
    <col min="3" max="5" width="23.875" style="11" customWidth="1"/>
    <col min="6" max="6" width="24.75" style="11" customWidth="1"/>
    <col min="7" max="7" width="9.875" style="11"/>
    <col min="8" max="8" width="15.25" style="11" bestFit="1" customWidth="1"/>
    <col min="9" max="16384" width="9.875" style="11"/>
  </cols>
  <sheetData>
    <row r="1" spans="2:13" s="57" customFormat="1" ht="20.25" customHeight="1">
      <c r="B1" s="813" t="s">
        <v>13</v>
      </c>
      <c r="C1" s="813"/>
      <c r="D1" s="813"/>
      <c r="E1" s="813"/>
      <c r="F1" s="813"/>
      <c r="H1" s="847" t="s">
        <v>631</v>
      </c>
      <c r="I1" s="847"/>
      <c r="J1" s="847"/>
      <c r="K1" s="847"/>
      <c r="L1" s="847"/>
      <c r="M1" s="575"/>
    </row>
    <row r="2" spans="2:13" s="57" customFormat="1" ht="20.25" customHeight="1">
      <c r="B2" s="813" t="s">
        <v>711</v>
      </c>
      <c r="C2" s="813"/>
      <c r="D2" s="813"/>
      <c r="E2" s="813"/>
      <c r="F2" s="813"/>
      <c r="H2" s="847"/>
      <c r="I2" s="847"/>
      <c r="J2" s="847"/>
      <c r="K2" s="847"/>
      <c r="L2" s="847"/>
      <c r="M2" s="575"/>
    </row>
    <row r="3" spans="2:13" s="57" customFormat="1" ht="21.1">
      <c r="B3" s="813" t="s">
        <v>14</v>
      </c>
      <c r="C3" s="813"/>
      <c r="D3" s="813"/>
      <c r="E3" s="813"/>
      <c r="F3" s="813"/>
      <c r="H3" s="575"/>
      <c r="I3" s="575"/>
      <c r="J3" s="575"/>
      <c r="K3" s="575"/>
      <c r="L3" s="575"/>
      <c r="M3" s="575"/>
    </row>
    <row r="4" spans="2:13" ht="14.3">
      <c r="B4" s="25"/>
      <c r="C4" s="25"/>
      <c r="D4" s="25"/>
      <c r="E4" s="25"/>
      <c r="H4" s="664">
        <v>0</v>
      </c>
      <c r="I4" s="576" t="s">
        <v>629</v>
      </c>
      <c r="J4" s="576"/>
      <c r="K4" s="576"/>
      <c r="L4" s="576"/>
    </row>
    <row r="5" spans="2:13" ht="14.95" thickBot="1">
      <c r="B5" s="47"/>
      <c r="H5" s="664">
        <v>0</v>
      </c>
      <c r="I5" s="576" t="s">
        <v>630</v>
      </c>
      <c r="J5" s="576"/>
      <c r="K5" s="576"/>
      <c r="L5" s="576"/>
    </row>
    <row r="6" spans="2:13" ht="45" customHeight="1" thickTop="1">
      <c r="B6" s="96" t="s">
        <v>15</v>
      </c>
      <c r="C6" s="97" t="s">
        <v>16</v>
      </c>
      <c r="D6" s="97" t="s">
        <v>17</v>
      </c>
      <c r="E6" s="97" t="s">
        <v>18</v>
      </c>
      <c r="F6" s="98" t="s">
        <v>337</v>
      </c>
    </row>
    <row r="7" spans="2:13" ht="30.1" customHeight="1" thickBot="1">
      <c r="B7" s="116"/>
      <c r="C7" s="72" t="str">
        <f>+'COMBUSTIBLES '!B6</f>
        <v>01 DE JUNIO 2021</v>
      </c>
      <c r="D7" s="72" t="str">
        <f>+C7</f>
        <v>01 DE JUNIO 2021</v>
      </c>
      <c r="E7" s="72" t="str">
        <f>+D7</f>
        <v>01 DE JUNIO 2021</v>
      </c>
      <c r="F7" s="73" t="str">
        <f>+E7</f>
        <v>01 DE JUNIO 2021</v>
      </c>
    </row>
    <row r="8" spans="2:13" ht="27" customHeight="1" thickTop="1">
      <c r="B8" s="113" t="s">
        <v>19</v>
      </c>
      <c r="C8" s="114">
        <f>'COMBUSTIBLES '!B7-H4</f>
        <v>4719.72</v>
      </c>
      <c r="D8" s="114">
        <f>'COMBUSTIBLES '!D7</f>
        <v>6970</v>
      </c>
      <c r="E8" s="114">
        <f>'COMBUSTIBLES '!E7-H5</f>
        <v>4321.3500000000004</v>
      </c>
      <c r="F8" s="115">
        <f>+(E8*98%)+BIODIESEL!E9</f>
        <v>4556.5330000000004</v>
      </c>
    </row>
    <row r="9" spans="2:13" ht="27" customHeight="1">
      <c r="B9" s="358" t="s">
        <v>235</v>
      </c>
      <c r="C9" s="100" t="s">
        <v>59</v>
      </c>
      <c r="D9" s="100" t="str">
        <f>+C9</f>
        <v>(*****)</v>
      </c>
      <c r="E9" s="100" t="str">
        <f>+C9</f>
        <v>(*****)</v>
      </c>
      <c r="F9" s="101" t="str">
        <f>+D9</f>
        <v>(*****)</v>
      </c>
      <c r="I9" s="301"/>
      <c r="J9" s="301"/>
    </row>
    <row r="10" spans="2:13" ht="27" customHeight="1">
      <c r="B10" s="99" t="s">
        <v>278</v>
      </c>
      <c r="C10" s="100">
        <f>+'COMBUSTIBLES '!B8</f>
        <v>8.3842000000000017</v>
      </c>
      <c r="D10" s="100">
        <f>+C10</f>
        <v>8.3842000000000017</v>
      </c>
      <c r="E10" s="100">
        <f>+'COMBUSTIBLES '!E8</f>
        <v>8.3842000000000017</v>
      </c>
      <c r="F10" s="101">
        <f>+BIODIESEL!F14</f>
        <v>8.3842000000000017</v>
      </c>
    </row>
    <row r="11" spans="2:13" ht="27" hidden="1" customHeight="1">
      <c r="B11" s="102" t="s">
        <v>236</v>
      </c>
      <c r="C11" s="100">
        <f>'COMBUSTIBLES '!B10</f>
        <v>0</v>
      </c>
      <c r="D11" s="100">
        <f>'COMBUSTIBLES '!B10</f>
        <v>0</v>
      </c>
      <c r="E11" s="100">
        <f>'COMBUSTIBLES '!E10</f>
        <v>0</v>
      </c>
      <c r="F11" s="101">
        <f>+E11</f>
        <v>0</v>
      </c>
      <c r="H11" s="359">
        <f>+E8*0.98</f>
        <v>4234.9230000000007</v>
      </c>
    </row>
    <row r="12" spans="2:13" ht="27" customHeight="1">
      <c r="B12" s="99" t="s">
        <v>325</v>
      </c>
      <c r="C12" s="100">
        <f>Variables!C24</f>
        <v>1093.3800000000001</v>
      </c>
      <c r="D12" s="100">
        <f>Variables!C25</f>
        <v>1156.9000000000001</v>
      </c>
      <c r="E12" s="100">
        <f>Variables!C34</f>
        <v>724.42</v>
      </c>
      <c r="F12" s="101">
        <f>E12*98%</f>
        <v>709.9316</v>
      </c>
      <c r="H12" s="564">
        <f>+BIODIESEL!E9</f>
        <v>321.61</v>
      </c>
    </row>
    <row r="13" spans="2:13" s="301" customFormat="1" ht="27" customHeight="1">
      <c r="B13" s="99" t="s">
        <v>268</v>
      </c>
      <c r="C13" s="103"/>
      <c r="D13" s="103"/>
      <c r="E13" s="103"/>
      <c r="F13" s="104"/>
      <c r="H13" s="564">
        <f>+H11+H12</f>
        <v>4556.5330000000004</v>
      </c>
    </row>
    <row r="14" spans="2:13" s="301" customFormat="1" ht="27" customHeight="1">
      <c r="B14" s="99" t="s">
        <v>311</v>
      </c>
      <c r="C14" s="103">
        <f>'COMBUSTIBLES '!B13</f>
        <v>159</v>
      </c>
      <c r="D14" s="103">
        <f>'COMBUSTIBLES '!C13</f>
        <v>159</v>
      </c>
      <c r="E14" s="103">
        <f>'COMBUSTIBLES '!E13</f>
        <v>179</v>
      </c>
      <c r="F14" s="104">
        <f>+BIODIESEL!E13</f>
        <v>175.42</v>
      </c>
    </row>
    <row r="15" spans="2:13" ht="44.35" customHeight="1">
      <c r="B15" s="105" t="s">
        <v>23</v>
      </c>
      <c r="C15" s="106">
        <f>SUM(C8:C14)</f>
        <v>5980.4842000000008</v>
      </c>
      <c r="D15" s="106">
        <f>SUM(D8:D14)</f>
        <v>8294.2842000000001</v>
      </c>
      <c r="E15" s="106">
        <f>SUM(E8:E14)</f>
        <v>5233.1542000000009</v>
      </c>
      <c r="F15" s="107">
        <f>SUM(F8:F14)</f>
        <v>5450.2688000000007</v>
      </c>
      <c r="H15"/>
      <c r="I15"/>
    </row>
    <row r="16" spans="2:13" ht="32.299999999999997" customHeight="1">
      <c r="B16" s="99" t="s">
        <v>4</v>
      </c>
      <c r="C16" s="108" t="s">
        <v>12</v>
      </c>
      <c r="D16" s="100"/>
      <c r="E16" s="108" t="str">
        <f>+C16</f>
        <v>(**)</v>
      </c>
      <c r="F16" s="109" t="str">
        <f>+E16</f>
        <v>(**)</v>
      </c>
      <c r="H16"/>
    </row>
    <row r="17" spans="2:18" s="48" customFormat="1" ht="29.25" customHeight="1">
      <c r="B17" s="134" t="s">
        <v>240</v>
      </c>
      <c r="C17" s="108" t="s">
        <v>22</v>
      </c>
      <c r="D17" s="108" t="str">
        <f>+C17</f>
        <v>(***)</v>
      </c>
      <c r="E17" s="108" t="str">
        <f>+D17</f>
        <v>(***)</v>
      </c>
      <c r="F17" s="109" t="str">
        <f>+E17</f>
        <v>(***)</v>
      </c>
      <c r="R17" s="14"/>
    </row>
    <row r="18" spans="2:18" s="301" customFormat="1" ht="30.1" customHeight="1" thickBot="1">
      <c r="B18" s="110" t="s">
        <v>210</v>
      </c>
      <c r="C18" s="111" t="s">
        <v>222</v>
      </c>
      <c r="D18" s="111" t="str">
        <f>+C18</f>
        <v>(****)</v>
      </c>
      <c r="E18" s="111" t="str">
        <f>+D18</f>
        <v>(****)</v>
      </c>
      <c r="F18" s="112" t="str">
        <f>+E18</f>
        <v>(****)</v>
      </c>
    </row>
    <row r="19" spans="2:18" ht="14.3" thickTop="1"/>
    <row r="20" spans="2:18" s="95" customFormat="1" ht="40.6" customHeight="1">
      <c r="B20" s="848" t="s">
        <v>234</v>
      </c>
      <c r="C20" s="848"/>
      <c r="D20" s="848"/>
      <c r="E20" s="848"/>
    </row>
    <row r="21" spans="2:18" s="95" customFormat="1" ht="30.75" customHeight="1">
      <c r="B21" s="849" t="s">
        <v>277</v>
      </c>
      <c r="C21" s="849"/>
      <c r="D21" s="849"/>
      <c r="E21" s="849"/>
    </row>
    <row r="22" spans="2:18" s="95" customFormat="1" ht="5.3" customHeight="1">
      <c r="B22" s="322"/>
      <c r="C22" s="322"/>
      <c r="D22" s="322"/>
      <c r="E22" s="322"/>
    </row>
    <row r="23" spans="2:18" s="95" customFormat="1" ht="17.350000000000001" customHeight="1">
      <c r="B23" s="848" t="s">
        <v>237</v>
      </c>
      <c r="C23" s="848"/>
      <c r="D23" s="848"/>
      <c r="E23" s="848"/>
    </row>
    <row r="24" spans="2:18" s="95" customFormat="1" ht="3.75" customHeight="1">
      <c r="B24" s="302"/>
      <c r="C24" s="302"/>
      <c r="D24" s="302"/>
      <c r="E24" s="302"/>
    </row>
    <row r="25" spans="2:18" s="95" customFormat="1" ht="17.350000000000001" customHeight="1">
      <c r="B25" s="848" t="s">
        <v>255</v>
      </c>
      <c r="C25" s="848"/>
      <c r="D25" s="848"/>
      <c r="E25" s="848"/>
    </row>
    <row r="26" spans="2:18" s="95" customFormat="1" ht="8.35" customHeight="1">
      <c r="B26" s="302"/>
      <c r="C26" s="302"/>
      <c r="D26" s="302"/>
      <c r="E26" s="302"/>
    </row>
    <row r="27" spans="2:18" s="95" customFormat="1" ht="25.5" customHeight="1">
      <c r="B27" s="848" t="s">
        <v>238</v>
      </c>
      <c r="C27" s="848"/>
      <c r="D27" s="848"/>
      <c r="E27" s="848"/>
    </row>
    <row r="28" spans="2:18" ht="7.5" customHeight="1">
      <c r="B28" s="304"/>
      <c r="C28" s="304"/>
      <c r="D28" s="304"/>
      <c r="E28" s="304"/>
    </row>
    <row r="29" spans="2:18" s="301" customFormat="1" ht="45.7" customHeight="1">
      <c r="B29" s="844" t="s">
        <v>292</v>
      </c>
      <c r="C29" s="844"/>
      <c r="D29" s="844"/>
      <c r="E29" s="844"/>
    </row>
    <row r="30" spans="2:18" s="301" customFormat="1" ht="8.35" customHeight="1">
      <c r="B30" s="304"/>
      <c r="C30" s="304"/>
      <c r="D30" s="304"/>
      <c r="E30" s="304"/>
    </row>
    <row r="31" spans="2:18" ht="39.75" hidden="1" customHeight="1">
      <c r="B31" s="844" t="s">
        <v>280</v>
      </c>
      <c r="C31" s="844"/>
      <c r="D31" s="844"/>
      <c r="E31" s="844"/>
      <c r="F31" s="844"/>
      <c r="G31" s="844"/>
    </row>
    <row r="32" spans="2:18" ht="9.6999999999999993" customHeight="1"/>
    <row r="33" spans="2:6">
      <c r="B33" s="849" t="s">
        <v>279</v>
      </c>
      <c r="C33" s="849"/>
      <c r="D33" s="849"/>
      <c r="E33" s="849"/>
    </row>
    <row r="35" spans="2:6">
      <c r="B35" s="849" t="s">
        <v>326</v>
      </c>
      <c r="C35" s="849"/>
      <c r="D35" s="849"/>
      <c r="E35" s="849"/>
    </row>
    <row r="36" spans="2:6" s="301" customFormat="1">
      <c r="B36" s="430"/>
      <c r="C36" s="430"/>
      <c r="D36" s="430"/>
      <c r="E36" s="430"/>
    </row>
    <row r="37" spans="2:6" ht="86.3" customHeight="1">
      <c r="B37" s="799" t="s">
        <v>288</v>
      </c>
      <c r="C37" s="799"/>
      <c r="D37" s="799"/>
      <c r="E37" s="799"/>
      <c r="F37" s="799"/>
    </row>
    <row r="42" spans="2:6">
      <c r="B42" s="844"/>
      <c r="C42" s="844"/>
      <c r="D42" s="844"/>
      <c r="E42" s="844"/>
    </row>
  </sheetData>
  <sheetProtection password="C71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6"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zoomScale="80" zoomScaleNormal="80" workbookViewId="0">
      <selection activeCell="N16" sqref="N16"/>
    </sheetView>
  </sheetViews>
  <sheetFormatPr baseColWidth="10" defaultColWidth="9.875" defaultRowHeight="13.6"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hidden="1" customWidth="1"/>
    <col min="13" max="13" width="0" style="2" hidden="1" customWidth="1"/>
    <col min="14" max="16384" width="9.875" style="2"/>
  </cols>
  <sheetData>
    <row r="1" spans="3:12" ht="15.65">
      <c r="C1" s="855" t="s">
        <v>208</v>
      </c>
      <c r="D1" s="855"/>
      <c r="E1" s="855"/>
      <c r="F1" s="855"/>
      <c r="G1" s="855"/>
      <c r="H1" s="855"/>
    </row>
    <row r="2" spans="3:12" ht="15.65">
      <c r="C2" s="855" t="s">
        <v>33</v>
      </c>
      <c r="D2" s="855"/>
      <c r="E2" s="855"/>
      <c r="F2" s="855"/>
      <c r="G2" s="855"/>
      <c r="H2" s="855"/>
    </row>
    <row r="3" spans="3:12" ht="15.65">
      <c r="C3" s="855" t="s">
        <v>14</v>
      </c>
      <c r="D3" s="855"/>
      <c r="E3" s="855"/>
      <c r="F3" s="855"/>
      <c r="G3" s="855"/>
      <c r="H3" s="855"/>
      <c r="J3" s="4"/>
    </row>
    <row r="4" spans="3:12" ht="24.8" customHeight="1" thickBot="1">
      <c r="C4" s="300" t="str">
        <f>+'COMBUSTIBLES '!A1</f>
        <v>01 DE JUNIO 2021</v>
      </c>
      <c r="D4" s="29"/>
      <c r="E4" s="30"/>
      <c r="F4" s="857"/>
      <c r="G4" s="857"/>
      <c r="H4" s="410"/>
      <c r="I4" s="410"/>
      <c r="J4" s="693"/>
    </row>
    <row r="5" spans="3:12" ht="45" customHeight="1" thickTop="1">
      <c r="C5" s="118" t="s">
        <v>15</v>
      </c>
      <c r="D5" s="329" t="s">
        <v>211</v>
      </c>
      <c r="E5" s="329" t="s">
        <v>260</v>
      </c>
      <c r="F5" s="329" t="s">
        <v>289</v>
      </c>
      <c r="I5" s="329" t="s">
        <v>261</v>
      </c>
      <c r="J5" s="330" t="s">
        <v>611</v>
      </c>
    </row>
    <row r="6" spans="3:12" ht="22.6" customHeight="1">
      <c r="C6" s="331" t="s">
        <v>19</v>
      </c>
      <c r="D6" s="324">
        <f>'COMBUSTIBLES '!E7</f>
        <v>4321.3500000000004</v>
      </c>
      <c r="E6" s="324">
        <f>+D6</f>
        <v>4321.3500000000004</v>
      </c>
      <c r="F6" s="324">
        <f>+E6*80%</f>
        <v>3457.0800000000004</v>
      </c>
      <c r="I6" s="324">
        <f>+BIODIESEL!B7*4%+(F6)*96%</f>
        <v>3962.0216</v>
      </c>
      <c r="J6" s="333">
        <f>+BIODIESEL!B7*2%+(F6)*98%</f>
        <v>3709.5508000000004</v>
      </c>
      <c r="L6" s="33"/>
    </row>
    <row r="7" spans="3:12" ht="22.6"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6" customHeight="1">
      <c r="C8" s="334" t="str">
        <f>+'GASOLINA CORRIENTE OXIGENADA'!A12</f>
        <v>Impuesto sobre las Ventas</v>
      </c>
      <c r="D8" s="432" t="str">
        <f>'COMBUSTIBLES '!E12</f>
        <v>(3)</v>
      </c>
      <c r="E8" s="432" t="str">
        <f>'COMBUSTIBLES '!E12</f>
        <v>(3)</v>
      </c>
      <c r="F8" s="432" t="str">
        <f>+E8</f>
        <v>(3)</v>
      </c>
      <c r="G8" s="433"/>
      <c r="H8" s="433"/>
      <c r="I8" s="432" t="str">
        <f>+F8</f>
        <v>(3)</v>
      </c>
      <c r="J8" s="434" t="str">
        <f>+I8</f>
        <v>(3)</v>
      </c>
    </row>
    <row r="9" spans="3:12" ht="22.6"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6" customHeight="1">
      <c r="C10" s="331" t="s">
        <v>239</v>
      </c>
      <c r="D10" s="326" t="str">
        <f>+I10</f>
        <v>(*)</v>
      </c>
      <c r="E10" s="326" t="str">
        <f>+D10</f>
        <v>(*)</v>
      </c>
      <c r="F10" s="326" t="str">
        <f>+E10</f>
        <v>(*)</v>
      </c>
      <c r="I10" s="326" t="s">
        <v>11</v>
      </c>
      <c r="J10" s="398" t="str">
        <f>+I10</f>
        <v>(*)</v>
      </c>
    </row>
    <row r="11" spans="3:12" ht="22.6" hidden="1" customHeight="1">
      <c r="C11" s="102" t="s">
        <v>236</v>
      </c>
      <c r="D11" s="327">
        <f>'COMBUSTIBLES '!E10</f>
        <v>0</v>
      </c>
      <c r="E11" s="327">
        <f>+D11</f>
        <v>0</v>
      </c>
      <c r="F11" s="327">
        <f>+E11</f>
        <v>0</v>
      </c>
      <c r="I11" s="327">
        <f>+F11</f>
        <v>0</v>
      </c>
      <c r="J11" s="119">
        <f>+I11</f>
        <v>0</v>
      </c>
    </row>
    <row r="12" spans="3:12" ht="26.35" customHeight="1">
      <c r="C12" s="335" t="s">
        <v>214</v>
      </c>
      <c r="D12" s="328">
        <f>SUM(D6:D11)</f>
        <v>5031.6200000000008</v>
      </c>
      <c r="E12" s="328">
        <f>SUM(E6:E11)</f>
        <v>5177.46</v>
      </c>
      <c r="F12" s="328">
        <f>SUM(F6:F11)</f>
        <v>4313.1900000000005</v>
      </c>
      <c r="I12" s="328">
        <f>SUM(I6:I11)</f>
        <v>4783.8915999999999</v>
      </c>
      <c r="J12" s="336">
        <f>SUM(J6:J11)</f>
        <v>4548.5408000000007</v>
      </c>
    </row>
    <row r="13" spans="3:12" ht="22.6" customHeight="1" thickBot="1">
      <c r="C13" s="337" t="s">
        <v>8</v>
      </c>
      <c r="D13" s="338">
        <f>'COMBUSTIBLES '!E16</f>
        <v>301.48</v>
      </c>
      <c r="E13" s="338"/>
      <c r="F13" s="338"/>
      <c r="I13" s="338"/>
      <c r="J13" s="339"/>
    </row>
    <row r="14" spans="3:12" ht="12.1" customHeight="1" thickTop="1">
      <c r="C14" s="323"/>
      <c r="D14" s="27"/>
      <c r="E14" s="27"/>
      <c r="F14" s="411"/>
      <c r="G14" s="411"/>
      <c r="H14" s="411"/>
      <c r="I14" s="410"/>
    </row>
    <row r="15" spans="3:12" ht="18.7" customHeight="1">
      <c r="C15" s="858" t="s">
        <v>256</v>
      </c>
      <c r="D15" s="858"/>
      <c r="E15" s="858"/>
      <c r="F15" s="858"/>
      <c r="G15" s="858"/>
      <c r="H15" s="858"/>
    </row>
    <row r="16" spans="3:12" ht="49.6" customHeight="1">
      <c r="C16" s="856" t="s">
        <v>258</v>
      </c>
      <c r="D16" s="856"/>
      <c r="E16" s="856"/>
      <c r="F16" s="856"/>
      <c r="G16" s="856"/>
      <c r="H16" s="856"/>
    </row>
    <row r="17" spans="3:11" ht="34.5" customHeight="1">
      <c r="C17" s="815" t="s">
        <v>280</v>
      </c>
      <c r="D17" s="815"/>
      <c r="E17" s="815"/>
      <c r="F17" s="815"/>
      <c r="G17" s="815"/>
      <c r="H17" s="815"/>
    </row>
    <row r="18" spans="3:11">
      <c r="C18" s="815" t="s">
        <v>290</v>
      </c>
      <c r="D18" s="815"/>
      <c r="E18" s="815"/>
      <c r="F18" s="815"/>
      <c r="G18" s="815"/>
      <c r="H18" s="815"/>
    </row>
    <row r="19" spans="3:11" ht="28.55" customHeight="1">
      <c r="C19" s="340"/>
      <c r="D19" s="340"/>
      <c r="E19" s="340"/>
      <c r="F19" s="340"/>
      <c r="G19" s="340"/>
      <c r="H19" s="340"/>
    </row>
    <row r="20" spans="3:11">
      <c r="C20" s="833" t="s">
        <v>331</v>
      </c>
      <c r="D20" s="833"/>
      <c r="E20" s="833"/>
      <c r="F20" s="833"/>
      <c r="G20" s="833"/>
      <c r="H20" s="833"/>
      <c r="I20" s="833"/>
      <c r="J20" s="2" t="s">
        <v>159</v>
      </c>
    </row>
    <row r="21" spans="3:11">
      <c r="C21" s="833" t="s">
        <v>329</v>
      </c>
      <c r="D21" s="833"/>
      <c r="E21" s="833"/>
      <c r="F21" s="833"/>
      <c r="G21" s="833"/>
      <c r="H21" s="833"/>
      <c r="I21" s="833"/>
    </row>
    <row r="22" spans="3:11">
      <c r="C22" s="833" t="s">
        <v>330</v>
      </c>
      <c r="D22" s="833"/>
      <c r="E22" s="833"/>
      <c r="F22" s="833"/>
      <c r="G22" s="833"/>
      <c r="H22" s="833"/>
      <c r="I22" s="833"/>
    </row>
    <row r="23" spans="3:11">
      <c r="C23" s="694"/>
      <c r="D23" s="694"/>
      <c r="E23" s="694"/>
      <c r="F23" s="694"/>
      <c r="G23" s="694"/>
      <c r="H23" s="694"/>
      <c r="I23" s="694"/>
    </row>
    <row r="24" spans="3:11">
      <c r="C24" s="694"/>
      <c r="D24" s="694"/>
      <c r="E24" s="694"/>
      <c r="F24" s="694"/>
      <c r="G24" s="694"/>
      <c r="H24" s="694"/>
      <c r="I24" s="694"/>
    </row>
    <row r="25" spans="3:11" ht="15.65">
      <c r="C25" s="855" t="s">
        <v>45</v>
      </c>
      <c r="D25" s="855"/>
      <c r="E25" s="855"/>
      <c r="F25" s="855"/>
      <c r="G25" s="855"/>
      <c r="H25" s="855"/>
      <c r="J25" s="2" t="s">
        <v>159</v>
      </c>
    </row>
    <row r="26" spans="3:11" ht="15.65">
      <c r="C26" s="855" t="s">
        <v>37</v>
      </c>
      <c r="D26" s="855"/>
      <c r="E26" s="855"/>
      <c r="F26" s="855"/>
      <c r="G26" s="855"/>
      <c r="H26" s="855"/>
    </row>
    <row r="27" spans="3:11" ht="15.65">
      <c r="C27" s="855" t="s">
        <v>14</v>
      </c>
      <c r="D27" s="855"/>
      <c r="E27" s="855"/>
      <c r="F27" s="855"/>
      <c r="G27" s="855"/>
      <c r="H27" s="855"/>
    </row>
    <row r="28" spans="3:11" ht="14.95" thickBot="1">
      <c r="C28" s="300" t="str">
        <f>+C4</f>
        <v>01 DE JUNIO 2021</v>
      </c>
      <c r="D28" s="29"/>
      <c r="E28" s="30"/>
      <c r="F28"/>
    </row>
    <row r="29" spans="3:11" ht="57.1" customHeight="1" thickTop="1">
      <c r="C29" s="118" t="s">
        <v>15</v>
      </c>
      <c r="D29" s="329" t="str">
        <f>+D5</f>
        <v xml:space="preserve">DIESEL MARINO </v>
      </c>
      <c r="E29" s="329" t="str">
        <f>+E5</f>
        <v>DIESEL MARINO CON CUPO (ART 174 LEY 1607/12)</v>
      </c>
      <c r="F29" s="329" t="str">
        <f>+F5</f>
        <v>DIESEL MARINO CON CUPO (ART 174 LEY 1607/12) CON DESCUENTO****</v>
      </c>
      <c r="G29" s="329" t="s">
        <v>284</v>
      </c>
      <c r="H29" s="329" t="s">
        <v>285</v>
      </c>
      <c r="J29" s="329" t="s">
        <v>606</v>
      </c>
    </row>
    <row r="30" spans="3:11" ht="23.3" customHeight="1">
      <c r="C30" s="331" t="s">
        <v>19</v>
      </c>
      <c r="D30" s="327">
        <f>'COMBUSTIBLES '!E7</f>
        <v>4321.3500000000004</v>
      </c>
      <c r="E30" s="324">
        <f>+D30</f>
        <v>4321.3500000000004</v>
      </c>
      <c r="F30" s="325">
        <f>+D30*80%</f>
        <v>3457.0800000000004</v>
      </c>
      <c r="G30" s="551">
        <v>1903.2</v>
      </c>
      <c r="H30" s="332">
        <v>1280.03</v>
      </c>
      <c r="J30" s="332">
        <f>+(F30*98%)+(BIODIESEL!B7*2%)</f>
        <v>3709.5508000000004</v>
      </c>
      <c r="K30" s="33" t="s">
        <v>159</v>
      </c>
    </row>
    <row r="31" spans="3:11" ht="23.3" customHeight="1">
      <c r="C31" s="334" t="str">
        <f>+C7</f>
        <v>Impuesto Nacional a la Gasolina y al ACPM</v>
      </c>
      <c r="D31" s="327">
        <f>+Variables!C33</f>
        <v>677.11</v>
      </c>
      <c r="E31" s="327">
        <f>D31</f>
        <v>677.11</v>
      </c>
      <c r="F31" s="327">
        <f>E31</f>
        <v>677.11</v>
      </c>
      <c r="G31" s="552">
        <f>+D31</f>
        <v>677.11</v>
      </c>
      <c r="H31" s="333">
        <f>+F31</f>
        <v>677.11</v>
      </c>
      <c r="J31" s="119">
        <f>ROUND(F31*98%,2)</f>
        <v>663.57</v>
      </c>
    </row>
    <row r="32" spans="3:11" ht="23.3" customHeight="1">
      <c r="C32" s="334" t="str">
        <f t="shared" ref="C32:F33" si="0">+C8</f>
        <v>Impuesto sobre las Ventas</v>
      </c>
      <c r="D32" s="324"/>
      <c r="E32" s="324"/>
      <c r="F32" s="324"/>
      <c r="G32" s="552"/>
      <c r="H32" s="333"/>
      <c r="J32" s="333"/>
    </row>
    <row r="33" spans="1:10" ht="23.3" customHeight="1">
      <c r="C33" s="334" t="str">
        <f t="shared" si="0"/>
        <v>Impuesto al carbono</v>
      </c>
      <c r="D33" s="324">
        <f t="shared" si="0"/>
        <v>179</v>
      </c>
      <c r="E33" s="324">
        <f t="shared" si="0"/>
        <v>179</v>
      </c>
      <c r="F33" s="324">
        <f t="shared" si="0"/>
        <v>179</v>
      </c>
      <c r="G33" s="552"/>
      <c r="H33" s="333"/>
      <c r="J33" s="119">
        <f>ROUND(F33*98%,2)</f>
        <v>175.42</v>
      </c>
    </row>
    <row r="34" spans="1:10" ht="23.3" customHeight="1">
      <c r="C34" s="331" t="s">
        <v>21</v>
      </c>
      <c r="D34" s="327" t="str">
        <f>+D10</f>
        <v>(*)</v>
      </c>
      <c r="E34" s="327" t="str">
        <f>+D34</f>
        <v>(*)</v>
      </c>
      <c r="F34" s="327" t="str">
        <f>+E34</f>
        <v>(*)</v>
      </c>
      <c r="G34" s="553" t="str">
        <f>+F34</f>
        <v>(*)</v>
      </c>
      <c r="H34" s="119" t="str">
        <f>+G34</f>
        <v>(*)</v>
      </c>
      <c r="J34" s="119">
        <f>+I34</f>
        <v>0</v>
      </c>
    </row>
    <row r="35" spans="1:10" ht="23.3" customHeight="1">
      <c r="C35" s="102" t="s">
        <v>236</v>
      </c>
      <c r="D35" s="324">
        <f>+D11</f>
        <v>0</v>
      </c>
      <c r="E35" s="324">
        <f>+E11</f>
        <v>0</v>
      </c>
      <c r="F35" s="324">
        <f>+F11</f>
        <v>0</v>
      </c>
      <c r="G35" s="554">
        <f>+I11</f>
        <v>0</v>
      </c>
      <c r="H35" s="333">
        <f>+J11</f>
        <v>0</v>
      </c>
      <c r="J35" s="333">
        <f>+J11</f>
        <v>0</v>
      </c>
    </row>
    <row r="36" spans="1:10" ht="23.3" customHeight="1">
      <c r="C36" s="341" t="s">
        <v>38</v>
      </c>
      <c r="D36" s="328">
        <f>SUM(D30:D35)</f>
        <v>5177.46</v>
      </c>
      <c r="E36" s="328">
        <f>SUM(E30:E35)</f>
        <v>5177.46</v>
      </c>
      <c r="F36" s="328">
        <f>SUM(F30:F35)</f>
        <v>4313.1900000000005</v>
      </c>
      <c r="G36" s="555">
        <f>SUM(G30:G35)</f>
        <v>2580.31</v>
      </c>
      <c r="H36" s="336">
        <f>SUM(H30:H35)</f>
        <v>1957.1399999999999</v>
      </c>
      <c r="J36" s="336">
        <f>SUM(J30:J35)</f>
        <v>4548.5408000000007</v>
      </c>
    </row>
    <row r="37" spans="1:10" ht="23.3" customHeight="1">
      <c r="C37" s="120" t="s">
        <v>240</v>
      </c>
      <c r="D37" s="100" t="s">
        <v>11</v>
      </c>
      <c r="E37" s="100" t="str">
        <f>+D37</f>
        <v>(*)</v>
      </c>
      <c r="F37" s="100" t="str">
        <f>E37</f>
        <v>(*)</v>
      </c>
      <c r="G37" s="556" t="str">
        <f>+F37</f>
        <v>(*)</v>
      </c>
      <c r="H37" s="101" t="str">
        <f>G37</f>
        <v>(*)</v>
      </c>
      <c r="J37" s="101" t="str">
        <f>+F37</f>
        <v>(*)</v>
      </c>
    </row>
    <row r="38" spans="1:10" ht="23.3" customHeight="1">
      <c r="C38" s="120" t="s">
        <v>242</v>
      </c>
      <c r="D38" s="100" t="s">
        <v>12</v>
      </c>
      <c r="E38" s="100" t="str">
        <f>+D38</f>
        <v>(**)</v>
      </c>
      <c r="F38" s="100" t="str">
        <f>E38</f>
        <v>(**)</v>
      </c>
      <c r="G38" s="556" t="str">
        <f>+F38</f>
        <v>(**)</v>
      </c>
      <c r="H38" s="101" t="str">
        <f>G38</f>
        <v>(**)</v>
      </c>
      <c r="I38" s="33"/>
      <c r="J38" s="101" t="str">
        <f>+F37</f>
        <v>(*)</v>
      </c>
    </row>
    <row r="39" spans="1:10" ht="23.3" customHeight="1">
      <c r="C39" s="335" t="s">
        <v>39</v>
      </c>
      <c r="D39" s="328">
        <f>SUM(D36:D38)</f>
        <v>5177.46</v>
      </c>
      <c r="E39" s="328">
        <f>SUM(E36:E38)</f>
        <v>5177.46</v>
      </c>
      <c r="F39" s="328">
        <f>SUM(F36:F38)</f>
        <v>4313.1900000000005</v>
      </c>
      <c r="G39" s="555">
        <f>SUM(G36:G38)</f>
        <v>2580.31</v>
      </c>
      <c r="H39" s="336">
        <f>SUM(H36:H38)</f>
        <v>1957.1399999999999</v>
      </c>
      <c r="J39" s="336">
        <f>SUM(J36:J38)</f>
        <v>4548.5408000000007</v>
      </c>
    </row>
    <row r="40" spans="1:10" ht="23.3" customHeight="1" thickBot="1">
      <c r="C40" s="337" t="s">
        <v>8</v>
      </c>
      <c r="D40" s="338">
        <f>'COMBUSTIBLES '!E16</f>
        <v>301.48</v>
      </c>
      <c r="E40" s="338"/>
      <c r="F40" s="338"/>
      <c r="G40" s="535"/>
      <c r="H40" s="339"/>
      <c r="J40" s="339"/>
    </row>
    <row r="41" spans="1:10" ht="14.3" thickTop="1">
      <c r="A41" s="2" t="s">
        <v>159</v>
      </c>
      <c r="C41" s="35" t="s">
        <v>159</v>
      </c>
      <c r="D41" s="36"/>
      <c r="E41" s="36"/>
      <c r="F41" s="81"/>
      <c r="G41" s="81"/>
      <c r="H41" s="81"/>
    </row>
    <row r="42" spans="1:10" ht="14.95" customHeight="1">
      <c r="C42" s="848" t="s">
        <v>257</v>
      </c>
      <c r="D42" s="848"/>
      <c r="E42" s="848"/>
      <c r="F42" s="848"/>
      <c r="G42" s="848"/>
      <c r="H42" s="848"/>
      <c r="I42" s="848"/>
      <c r="J42" s="848"/>
    </row>
    <row r="43" spans="1:10" ht="18" customHeight="1">
      <c r="C43" s="848" t="s">
        <v>241</v>
      </c>
      <c r="D43" s="848"/>
      <c r="E43" s="848"/>
      <c r="F43" s="848"/>
      <c r="G43" s="848"/>
      <c r="H43" s="848"/>
      <c r="I43" s="848"/>
      <c r="J43" s="848"/>
    </row>
    <row r="44" spans="1:10" ht="65.25" customHeight="1">
      <c r="C44" s="849" t="s">
        <v>286</v>
      </c>
      <c r="D44" s="849"/>
      <c r="E44" s="849"/>
      <c r="F44" s="849"/>
      <c r="G44" s="849"/>
      <c r="H44" s="849"/>
      <c r="I44" s="849"/>
      <c r="J44" s="849"/>
    </row>
    <row r="45" spans="1:10" ht="28.55" customHeight="1">
      <c r="C45" s="844" t="s">
        <v>698</v>
      </c>
      <c r="D45" s="844"/>
      <c r="E45" s="844"/>
      <c r="F45" s="844"/>
      <c r="G45" s="844"/>
      <c r="H45" s="844"/>
    </row>
    <row r="46" spans="1:10" s="14" customFormat="1" ht="18" customHeight="1">
      <c r="C46" s="37"/>
      <c r="D46" s="38"/>
      <c r="E46" s="38"/>
    </row>
    <row r="47" spans="1:10" ht="15.65">
      <c r="C47" s="695" t="s">
        <v>46</v>
      </c>
      <c r="D47" s="696"/>
      <c r="E47" s="697"/>
      <c r="F47" s="698"/>
    </row>
    <row r="48" spans="1:10" ht="15.65">
      <c r="C48" s="695" t="s">
        <v>40</v>
      </c>
      <c r="D48" s="696"/>
      <c r="E48" s="697"/>
      <c r="F48" s="698"/>
    </row>
    <row r="49" spans="3:13" ht="15.65">
      <c r="C49" s="695" t="s">
        <v>41</v>
      </c>
      <c r="D49" s="696"/>
      <c r="E49" s="697"/>
      <c r="F49" s="698"/>
    </row>
    <row r="50" spans="3:13" ht="15.65">
      <c r="C50" s="695" t="s">
        <v>14</v>
      </c>
      <c r="D50" s="696"/>
      <c r="E50" s="697"/>
      <c r="F50" s="698"/>
    </row>
    <row r="51" spans="3:13" ht="14.95" thickBot="1">
      <c r="C51" s="300" t="str">
        <f>+C28</f>
        <v>01 DE JUNIO 2021</v>
      </c>
      <c r="D51" s="29"/>
      <c r="E51" s="30"/>
      <c r="F51"/>
    </row>
    <row r="52" spans="3:13" ht="32.950000000000003" customHeight="1" thickTop="1">
      <c r="C52" s="118" t="s">
        <v>15</v>
      </c>
      <c r="D52" s="329" t="s">
        <v>244</v>
      </c>
      <c r="E52" s="329" t="s">
        <v>262</v>
      </c>
      <c r="F52" s="330" t="s">
        <v>263</v>
      </c>
      <c r="L52" s="592" t="s">
        <v>709</v>
      </c>
      <c r="M52" s="592"/>
    </row>
    <row r="53" spans="3:13" ht="26.35" customHeight="1">
      <c r="C53" s="331" t="s">
        <v>245</v>
      </c>
      <c r="D53" s="324">
        <f>+BIODIESEL!E10</f>
        <v>4556.53</v>
      </c>
      <c r="E53" s="324">
        <f>+D53</f>
        <v>4556.53</v>
      </c>
      <c r="F53" s="119">
        <f>+BIODIESEL!B7*2%+('COMBUSTIBLES '!E7*77%)*98%</f>
        <v>3582.5031100000001</v>
      </c>
      <c r="G53" s="401"/>
      <c r="J53" s="565"/>
    </row>
    <row r="54" spans="3:13" ht="26.35" customHeight="1">
      <c r="C54" s="331" t="str">
        <f>+C31</f>
        <v>Impuesto Nacional a la Gasolina y al ACPM</v>
      </c>
      <c r="D54" s="688">
        <f>+D7*98%</f>
        <v>520.64459999999997</v>
      </c>
      <c r="E54" s="327">
        <f>+J7</f>
        <v>663.57</v>
      </c>
      <c r="F54" s="119">
        <f>E54</f>
        <v>663.57</v>
      </c>
      <c r="G54" s="33"/>
      <c r="J54" s="685"/>
    </row>
    <row r="55" spans="3:13" ht="26.35" customHeight="1">
      <c r="C55" s="331" t="str">
        <f>+C32</f>
        <v>Impuesto sobre las Ventas</v>
      </c>
      <c r="D55" s="432" t="str">
        <f>+'COMBUSTIBLES '!C12</f>
        <v>(3)</v>
      </c>
      <c r="E55" s="432" t="str">
        <f>+D55</f>
        <v>(3)</v>
      </c>
      <c r="F55" s="434" t="str">
        <f>+E55</f>
        <v>(3)</v>
      </c>
      <c r="G55" s="33"/>
    </row>
    <row r="56" spans="3:13" ht="26.35" customHeight="1">
      <c r="C56" s="331" t="str">
        <f>+C33</f>
        <v>Impuesto al carbono</v>
      </c>
      <c r="D56" s="324">
        <f>+D9*98%</f>
        <v>175.42</v>
      </c>
      <c r="E56" s="324">
        <f>+E33*98%</f>
        <v>175.42</v>
      </c>
      <c r="F56" s="333">
        <f>E56</f>
        <v>175.42</v>
      </c>
      <c r="G56" s="33"/>
    </row>
    <row r="57" spans="3:13" ht="26.35" customHeight="1">
      <c r="C57" s="331" t="s">
        <v>243</v>
      </c>
      <c r="D57" s="563" t="s">
        <v>11</v>
      </c>
      <c r="E57" s="100" t="str">
        <f>+D57</f>
        <v>(*)</v>
      </c>
      <c r="F57" s="101" t="str">
        <f>+E57</f>
        <v>(*)</v>
      </c>
    </row>
    <row r="58" spans="3:13" ht="26.35" customHeight="1">
      <c r="C58" s="331" t="s">
        <v>231</v>
      </c>
      <c r="D58" s="417">
        <v>23.631872385110903</v>
      </c>
      <c r="E58" s="327">
        <f>+D58</f>
        <v>23.631872385110903</v>
      </c>
      <c r="F58" s="119">
        <f>+E58</f>
        <v>23.631872385110903</v>
      </c>
      <c r="L58" s="593" t="s">
        <v>707</v>
      </c>
    </row>
    <row r="59" spans="3:13" ht="26.35" customHeight="1">
      <c r="C59" s="102" t="s">
        <v>236</v>
      </c>
      <c r="D59" s="324">
        <f>D35</f>
        <v>0</v>
      </c>
      <c r="E59" s="324">
        <f>E35</f>
        <v>0</v>
      </c>
      <c r="F59" s="333">
        <f>F35</f>
        <v>0</v>
      </c>
    </row>
    <row r="60" spans="3:13" ht="26.35" customHeight="1">
      <c r="C60" s="331" t="s">
        <v>36</v>
      </c>
      <c r="D60" s="342">
        <f>SUM(D53:D59)</f>
        <v>5276.2264723851104</v>
      </c>
      <c r="E60" s="342">
        <f>SUM(E53:E59)</f>
        <v>5419.1518723851104</v>
      </c>
      <c r="F60" s="343">
        <f>SUM(F53:F59)</f>
        <v>4445.1249823851113</v>
      </c>
      <c r="I60" s="33"/>
    </row>
    <row r="61" spans="3:13" ht="37.049999999999997" customHeight="1">
      <c r="C61" s="335" t="s">
        <v>43</v>
      </c>
      <c r="D61" s="344">
        <f>SUM(D60:D60)</f>
        <v>5276.2264723851104</v>
      </c>
      <c r="E61" s="344">
        <f>SUM(E60:E60)</f>
        <v>5419.1518723851104</v>
      </c>
      <c r="F61" s="345">
        <f>SUM(F60:F60)</f>
        <v>4445.1249823851113</v>
      </c>
    </row>
    <row r="62" spans="3:13" ht="37.049999999999997" customHeight="1" thickBot="1">
      <c r="C62" s="337" t="s">
        <v>55</v>
      </c>
      <c r="D62" s="338">
        <f>D40</f>
        <v>301.48</v>
      </c>
      <c r="E62" s="338"/>
      <c r="F62" s="339"/>
    </row>
    <row r="63" spans="3:13" ht="18.7" customHeight="1" thickTop="1">
      <c r="C63" s="850" t="s">
        <v>159</v>
      </c>
      <c r="D63" s="851"/>
      <c r="E63" s="851"/>
      <c r="F63" s="81"/>
    </row>
    <row r="64" spans="3:13" ht="18.7" customHeight="1">
      <c r="C64" s="852" t="s">
        <v>613</v>
      </c>
      <c r="D64" s="852"/>
      <c r="E64" s="852"/>
      <c r="F64" s="852"/>
    </row>
    <row r="65" spans="3:9" ht="18.7" customHeight="1">
      <c r="C65" s="852" t="s">
        <v>322</v>
      </c>
      <c r="D65" s="852"/>
      <c r="E65" s="852"/>
      <c r="F65" s="852"/>
    </row>
    <row r="66" spans="3:9" ht="18.7" customHeight="1">
      <c r="C66" s="589"/>
      <c r="D66" s="589"/>
      <c r="E66" s="589"/>
      <c r="F66" s="589"/>
    </row>
    <row r="67" spans="3:9" ht="40.6" customHeight="1">
      <c r="C67" s="798" t="s">
        <v>602</v>
      </c>
      <c r="D67" s="798"/>
      <c r="E67" s="798"/>
      <c r="F67" s="798"/>
      <c r="G67" s="798"/>
      <c r="H67" s="798"/>
      <c r="I67" s="798"/>
    </row>
    <row r="68" spans="3:9" ht="18.7" hidden="1" customHeight="1">
      <c r="C68" s="298"/>
      <c r="D68" s="298"/>
      <c r="E68" s="298"/>
    </row>
    <row r="69" spans="3:9" ht="32.950000000000003" hidden="1" customHeight="1">
      <c r="C69" s="28" t="s">
        <v>46</v>
      </c>
      <c r="D69" s="29"/>
      <c r="E69" s="30"/>
      <c r="F69" s="31"/>
    </row>
    <row r="70" spans="3:9" ht="14.3" hidden="1">
      <c r="C70" s="28" t="s">
        <v>44</v>
      </c>
      <c r="D70" s="29"/>
      <c r="E70" s="30"/>
      <c r="F70" s="31"/>
    </row>
    <row r="71" spans="3:9" ht="14.3" hidden="1">
      <c r="C71" s="28" t="s">
        <v>14</v>
      </c>
      <c r="D71" s="29"/>
      <c r="E71" s="30"/>
      <c r="F71" s="31"/>
    </row>
    <row r="72" spans="3:9" ht="14.95" hidden="1" thickBot="1">
      <c r="C72" s="28" t="str">
        <f>+C51</f>
        <v>01 DE JUNIO 2021</v>
      </c>
      <c r="D72" s="29"/>
      <c r="E72" s="30"/>
      <c r="F72"/>
    </row>
    <row r="73" spans="3:9" ht="45" hidden="1" customHeight="1" thickTop="1">
      <c r="C73" s="51" t="s">
        <v>15</v>
      </c>
      <c r="D73" s="299" t="s">
        <v>211</v>
      </c>
      <c r="E73" s="52" t="s">
        <v>212</v>
      </c>
      <c r="F73" s="52" t="s">
        <v>213</v>
      </c>
      <c r="G73"/>
    </row>
    <row r="74" spans="3:9" ht="27.7" hidden="1" customHeight="1">
      <c r="C74" s="305" t="s">
        <v>19</v>
      </c>
      <c r="D74" s="306">
        <f>+D6</f>
        <v>4321.3500000000004</v>
      </c>
      <c r="E74" s="307">
        <f>+D74</f>
        <v>4321.3500000000004</v>
      </c>
      <c r="F74" s="307">
        <f>+D74*77%</f>
        <v>3327.4395000000004</v>
      </c>
      <c r="G74"/>
    </row>
    <row r="75" spans="3:9" ht="27.7" hidden="1" customHeight="1">
      <c r="C75" s="305" t="s">
        <v>34</v>
      </c>
      <c r="D75" s="306" t="e">
        <f>#REF!</f>
        <v>#REF!</v>
      </c>
      <c r="E75" s="307" t="e">
        <f>D75</f>
        <v>#REF!</v>
      </c>
      <c r="F75" s="307" t="e">
        <f>E75</f>
        <v>#REF!</v>
      </c>
      <c r="G75"/>
    </row>
    <row r="76" spans="3:9" ht="27.7" hidden="1" customHeight="1">
      <c r="C76" s="308" t="s">
        <v>20</v>
      </c>
      <c r="D76" s="306">
        <f>+D7</f>
        <v>531.27</v>
      </c>
      <c r="E76" s="307"/>
      <c r="F76" s="307"/>
      <c r="G76"/>
    </row>
    <row r="77" spans="3:9" ht="27.7" hidden="1" customHeight="1">
      <c r="C77" s="309" t="s">
        <v>57</v>
      </c>
      <c r="D77" s="306">
        <f>+D59</f>
        <v>0</v>
      </c>
      <c r="E77" s="307">
        <f>+E59</f>
        <v>0</v>
      </c>
      <c r="F77" s="307">
        <f>+F59</f>
        <v>0</v>
      </c>
      <c r="G77"/>
    </row>
    <row r="78" spans="3:9" ht="27.7" hidden="1" customHeight="1">
      <c r="C78" s="305" t="s">
        <v>35</v>
      </c>
      <c r="D78" s="310">
        <f>386.04*(1+4.48%)*(1+5.69%)*(1+7.67%)*(1+2%)*(1+3.96%)</f>
        <v>486.69907901536254</v>
      </c>
      <c r="E78" s="311">
        <f>+D78</f>
        <v>486.69907901536254</v>
      </c>
      <c r="F78" s="311">
        <f>E78</f>
        <v>486.69907901536254</v>
      </c>
      <c r="G78"/>
    </row>
    <row r="79" spans="3:9" ht="27.7" hidden="1" customHeight="1">
      <c r="C79" s="305" t="s">
        <v>36</v>
      </c>
      <c r="D79" s="312" t="e">
        <f>SUM(D74:D78)</f>
        <v>#REF!</v>
      </c>
      <c r="E79" s="313" t="e">
        <f>SUM(E74:E78)</f>
        <v>#REF!</v>
      </c>
      <c r="F79" s="313" t="e">
        <f>SUM(F74:F78)</f>
        <v>#REF!</v>
      </c>
      <c r="G79"/>
    </row>
    <row r="80" spans="3:9" ht="37.049999999999997" hidden="1" customHeight="1">
      <c r="C80" s="32" t="s">
        <v>43</v>
      </c>
      <c r="D80" s="39" t="e">
        <f>SUM(D79:D79)</f>
        <v>#REF!</v>
      </c>
      <c r="E80" s="40" t="e">
        <f>SUM(E79:E79)</f>
        <v>#REF!</v>
      </c>
      <c r="F80" s="40" t="e">
        <f>SUM(F79:F79)</f>
        <v>#REF!</v>
      </c>
      <c r="G80"/>
    </row>
    <row r="81" spans="1:7" ht="36.700000000000003" hidden="1" customHeight="1" thickBot="1">
      <c r="C81" s="60" t="s">
        <v>32</v>
      </c>
      <c r="D81" s="26">
        <f>D40</f>
        <v>301.48</v>
      </c>
      <c r="E81" s="34"/>
      <c r="F81" s="34"/>
      <c r="G81"/>
    </row>
    <row r="82" spans="1:7" ht="27.7" hidden="1" customHeight="1" thickTop="1">
      <c r="C82" s="853" t="s">
        <v>190</v>
      </c>
      <c r="D82" s="853"/>
      <c r="E82" s="853"/>
    </row>
    <row r="83" spans="1:7" hidden="1">
      <c r="C83" s="35"/>
    </row>
    <row r="84" spans="1:7" hidden="1"/>
    <row r="85" spans="1:7" ht="14.3" hidden="1">
      <c r="C85" s="41" t="s">
        <v>53</v>
      </c>
      <c r="D85" s="28"/>
      <c r="E85" s="36"/>
    </row>
    <row r="86" spans="1:7" ht="14.3" hidden="1">
      <c r="C86" s="42" t="s">
        <v>14</v>
      </c>
      <c r="D86" s="42"/>
    </row>
    <row r="87" spans="1:7" ht="14.95" hidden="1" thickBot="1">
      <c r="A87" s="7"/>
      <c r="B87" s="7"/>
      <c r="C87" s="43" t="str">
        <f>C72</f>
        <v>01 DE JUNIO 2021</v>
      </c>
      <c r="D87" s="43"/>
    </row>
    <row r="88" spans="1:7" ht="28.55" hidden="1" customHeight="1" thickTop="1">
      <c r="A88" s="44"/>
      <c r="B88" s="44"/>
      <c r="C88" s="51" t="s">
        <v>15</v>
      </c>
      <c r="D88" s="52" t="s">
        <v>54</v>
      </c>
    </row>
    <row r="89" spans="1:7" hidden="1">
      <c r="C89" s="305" t="s">
        <v>19</v>
      </c>
      <c r="D89" s="307">
        <f>+D6</f>
        <v>4321.3500000000004</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301.48</v>
      </c>
    </row>
    <row r="94" spans="1:7" ht="14.95" hidden="1" thickBot="1">
      <c r="C94" s="45" t="s">
        <v>43</v>
      </c>
      <c r="D94" s="46" t="e">
        <f>SUM(D89:D93)</f>
        <v>#REF!</v>
      </c>
    </row>
    <row r="95" spans="1:7" ht="14.3" hidden="1" thickTop="1"/>
    <row r="96" spans="1:7" hidden="1"/>
    <row r="97" spans="3:16" ht="40.6" hidden="1" customHeight="1">
      <c r="C97" s="854" t="s">
        <v>58</v>
      </c>
      <c r="D97" s="854"/>
    </row>
    <row r="98" spans="3:16" hidden="1"/>
    <row r="99" spans="3:16" hidden="1"/>
    <row r="100" spans="3:16" hidden="1"/>
    <row r="101" spans="3:16" hidden="1"/>
    <row r="102" spans="3:16" hidden="1"/>
    <row r="103" spans="3:16" hidden="1"/>
    <row r="104" spans="3:16" hidden="1"/>
    <row r="106" spans="3:16" ht="19.55" hidden="1" customHeight="1" outlineLevel="1">
      <c r="C106" s="296" t="s">
        <v>560</v>
      </c>
      <c r="D106" s="296" t="s">
        <v>203</v>
      </c>
      <c r="E106" s="296" t="s">
        <v>204</v>
      </c>
      <c r="F106" s="296" t="s">
        <v>205</v>
      </c>
    </row>
    <row r="107" spans="3:16" ht="19.55" hidden="1" customHeight="1" outlineLevel="1">
      <c r="C107" s="294" t="s">
        <v>206</v>
      </c>
      <c r="D107" s="295">
        <f>+E6</f>
        <v>4321.3500000000004</v>
      </c>
      <c r="E107" s="295">
        <f>+F6</f>
        <v>3457.0800000000004</v>
      </c>
      <c r="F107" s="458">
        <f t="shared" ref="F107:F110" si="1">+D107-E107</f>
        <v>864.27</v>
      </c>
      <c r="I107" s="501" t="s">
        <v>574</v>
      </c>
      <c r="J107" s="593" t="s">
        <v>574</v>
      </c>
      <c r="K107" s="582">
        <v>912.6</v>
      </c>
      <c r="L107" s="33">
        <f>+F107-K107</f>
        <v>-48.330000000000041</v>
      </c>
      <c r="N107" s="2" t="s">
        <v>651</v>
      </c>
    </row>
    <row r="108" spans="3:16" ht="20.25" hidden="1" customHeight="1" outlineLevel="1">
      <c r="C108" s="294" t="s">
        <v>209</v>
      </c>
      <c r="D108" s="294">
        <f>+BIODIESEL!E10</f>
        <v>4556.53</v>
      </c>
      <c r="E108" s="295">
        <f>+J6</f>
        <v>3709.5508000000004</v>
      </c>
      <c r="F108" s="458">
        <f t="shared" si="1"/>
        <v>846.97919999999931</v>
      </c>
      <c r="I108" s="501" t="s">
        <v>574</v>
      </c>
      <c r="J108" s="593" t="s">
        <v>723</v>
      </c>
      <c r="K108" s="582">
        <v>894.35</v>
      </c>
      <c r="L108" s="33">
        <f t="shared" ref="L108:L111" si="2">+F108-K108</f>
        <v>-47.370800000000713</v>
      </c>
      <c r="O108" s="592" t="s">
        <v>652</v>
      </c>
    </row>
    <row r="109" spans="3:16" ht="19.55" hidden="1" customHeight="1" outlineLevel="1">
      <c r="C109" s="459" t="s">
        <v>559</v>
      </c>
      <c r="D109" s="460">
        <f>+E6</f>
        <v>4321.3500000000004</v>
      </c>
      <c r="E109" s="581">
        <f>+D109*77%</f>
        <v>3327.4395000000004</v>
      </c>
      <c r="F109" s="615">
        <f t="shared" si="1"/>
        <v>993.91049999999996</v>
      </c>
      <c r="I109" s="501" t="s">
        <v>574</v>
      </c>
      <c r="J109" s="593" t="s">
        <v>576</v>
      </c>
      <c r="K109" s="582">
        <v>2281.5</v>
      </c>
      <c r="L109" s="33">
        <f t="shared" si="2"/>
        <v>-1287.5895</v>
      </c>
      <c r="O109" s="593">
        <f>+D109-D109*0.77</f>
        <v>993.91049999999996</v>
      </c>
      <c r="P109" s="2" t="s">
        <v>653</v>
      </c>
    </row>
    <row r="110" spans="3:16" ht="19.55" hidden="1" customHeight="1" outlineLevel="1">
      <c r="C110" s="459" t="s">
        <v>558</v>
      </c>
      <c r="D110" s="460">
        <f>D53</f>
        <v>4556.53</v>
      </c>
      <c r="E110" s="460">
        <f>F53</f>
        <v>3582.5031100000001</v>
      </c>
      <c r="F110" s="591">
        <f t="shared" si="1"/>
        <v>974.02688999999964</v>
      </c>
      <c r="I110" s="501"/>
      <c r="J110" s="593" t="s">
        <v>722</v>
      </c>
      <c r="K110" s="582">
        <v>2235.87</v>
      </c>
      <c r="L110" s="33">
        <f t="shared" si="2"/>
        <v>-1261.8431100000003</v>
      </c>
      <c r="O110" s="661">
        <f>+D110-D109*0.98*0.77-13242.08*0.02</f>
        <v>1030.7976899999992</v>
      </c>
    </row>
    <row r="111" spans="3:16" hidden="1" outlineLevel="1">
      <c r="C111" s="2" t="s">
        <v>625</v>
      </c>
      <c r="D111" s="565">
        <f>+D30</f>
        <v>4321.3500000000004</v>
      </c>
      <c r="E111" s="33">
        <f>+F30</f>
        <v>3457.0800000000004</v>
      </c>
      <c r="F111" s="33">
        <f>+D111-E111</f>
        <v>864.27</v>
      </c>
      <c r="J111" s="593" t="s">
        <v>576</v>
      </c>
      <c r="K111" s="582">
        <v>912.6</v>
      </c>
      <c r="L111" s="33">
        <f t="shared" si="2"/>
        <v>-48.330000000000041</v>
      </c>
      <c r="O111" s="33"/>
    </row>
    <row r="112" spans="3:16" collapsed="1">
      <c r="D112" s="565"/>
      <c r="K112" s="582"/>
    </row>
    <row r="113" spans="3:10">
      <c r="D113" s="565"/>
      <c r="J113" s="33"/>
    </row>
    <row r="114" spans="3:10" ht="93.75" customHeight="1">
      <c r="C114" s="799" t="s">
        <v>288</v>
      </c>
      <c r="D114" s="799"/>
      <c r="E114" s="799"/>
      <c r="F114" s="799"/>
      <c r="G114" s="799"/>
      <c r="J114" s="33"/>
    </row>
  </sheetData>
  <sheetProtection password="C712"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2"/>
  <sheetViews>
    <sheetView showGridLines="0" tabSelected="1" zoomScale="80" zoomScaleNormal="80" workbookViewId="0">
      <selection activeCell="T13" sqref="T13"/>
    </sheetView>
  </sheetViews>
  <sheetFormatPr baseColWidth="10" defaultColWidth="7.875" defaultRowHeight="13.6"/>
  <cols>
    <col min="1" max="1" width="56.375" style="301" customWidth="1"/>
    <col min="2" max="2" width="21.75" style="301" customWidth="1"/>
    <col min="3" max="3" width="16.375" style="301" customWidth="1"/>
    <col min="4" max="4" width="12.75" style="301" hidden="1" customWidth="1"/>
    <col min="5" max="5" width="21" style="301" customWidth="1"/>
    <col min="6" max="6" width="19.25" style="301" hidden="1" customWidth="1"/>
    <col min="7" max="7" width="22.75" style="301" hidden="1" customWidth="1"/>
    <col min="8" max="8" width="17.375" style="301" customWidth="1"/>
    <col min="9" max="9" width="18.875" style="301" customWidth="1"/>
    <col min="10" max="10" width="18.625" style="301" customWidth="1"/>
    <col min="11" max="11" width="7.875" style="301"/>
    <col min="12" max="12" width="10.625" style="301" bestFit="1" customWidth="1"/>
    <col min="13" max="13" width="11.75" style="301" hidden="1" customWidth="1"/>
    <col min="14" max="18" width="0" style="301" hidden="1" customWidth="1"/>
    <col min="19" max="16384" width="7.875" style="301"/>
  </cols>
  <sheetData>
    <row r="1" spans="1:25" s="15" customFormat="1" ht="18.350000000000001">
      <c r="A1" s="859" t="s">
        <v>31</v>
      </c>
      <c r="B1" s="859"/>
      <c r="C1" s="859"/>
      <c r="D1" s="859"/>
      <c r="E1" s="859"/>
      <c r="F1" s="859"/>
      <c r="G1" s="859"/>
      <c r="H1" s="859"/>
      <c r="I1" s="859"/>
      <c r="J1" s="859"/>
    </row>
    <row r="2" spans="1:25" s="15" customFormat="1" ht="56.25" customHeight="1">
      <c r="A2" s="860" t="s">
        <v>309</v>
      </c>
      <c r="B2" s="860"/>
      <c r="C2" s="860"/>
      <c r="D2" s="860"/>
      <c r="E2" s="860"/>
      <c r="F2" s="860"/>
      <c r="G2" s="860"/>
      <c r="H2" s="860"/>
      <c r="I2" s="860"/>
      <c r="J2" s="860"/>
      <c r="M2" s="616" t="s">
        <v>668</v>
      </c>
      <c r="N2" s="617"/>
      <c r="O2" s="617"/>
      <c r="P2" s="617"/>
      <c r="Q2" s="617"/>
      <c r="R2" s="617"/>
    </row>
    <row r="3" spans="1:25" ht="24.8" customHeight="1">
      <c r="A3" s="861" t="s">
        <v>24</v>
      </c>
      <c r="B3" s="861"/>
      <c r="C3" s="861"/>
      <c r="D3" s="861"/>
      <c r="E3" s="861"/>
      <c r="F3" s="861"/>
      <c r="G3" s="423"/>
      <c r="I3" s="494"/>
      <c r="J3" s="494"/>
      <c r="K3" s="494"/>
      <c r="L3" s="494"/>
      <c r="M3" s="494"/>
      <c r="N3" s="494"/>
      <c r="O3" s="494"/>
    </row>
    <row r="4" spans="1:25" ht="14.3">
      <c r="A4" s="25"/>
    </row>
    <row r="5" spans="1:25" ht="14.95" thickBot="1">
      <c r="A5" s="22" t="str">
        <f>+'COMBUSTIBLES '!A1</f>
        <v>01 DE JUNIO 2021</v>
      </c>
      <c r="B5" s="183">
        <v>0</v>
      </c>
      <c r="C5" s="183">
        <v>0.02</v>
      </c>
      <c r="D5" s="183">
        <v>0</v>
      </c>
      <c r="E5" s="184">
        <v>0.02</v>
      </c>
      <c r="F5" s="183">
        <v>0</v>
      </c>
      <c r="G5" s="183">
        <v>0</v>
      </c>
      <c r="H5" s="184">
        <v>0.02</v>
      </c>
      <c r="I5" s="183">
        <v>0</v>
      </c>
      <c r="J5" s="184">
        <v>0</v>
      </c>
    </row>
    <row r="6" spans="1:25" ht="47.25" customHeight="1" thickTop="1">
      <c r="A6" s="346" t="s">
        <v>15</v>
      </c>
      <c r="B6" s="347" t="s">
        <v>66</v>
      </c>
      <c r="C6" s="347" t="s">
        <v>608</v>
      </c>
      <c r="D6" s="347" t="s">
        <v>161</v>
      </c>
      <c r="E6" s="347" t="s">
        <v>609</v>
      </c>
      <c r="F6" s="347" t="s">
        <v>162</v>
      </c>
      <c r="G6" s="347" t="s">
        <v>296</v>
      </c>
      <c r="H6" s="347" t="s">
        <v>610</v>
      </c>
      <c r="I6" s="347" t="s">
        <v>283</v>
      </c>
      <c r="J6" s="348" t="s">
        <v>282</v>
      </c>
    </row>
    <row r="7" spans="1:25" ht="27.7" customHeight="1">
      <c r="A7" s="117" t="s">
        <v>247</v>
      </c>
      <c r="B7" s="326">
        <v>7835.57</v>
      </c>
      <c r="C7" s="326">
        <v>7835.57</v>
      </c>
      <c r="D7" s="326">
        <v>6875.1811988924737</v>
      </c>
      <c r="E7" s="326">
        <v>7914.29</v>
      </c>
      <c r="F7" s="326">
        <v>6794.4669776671717</v>
      </c>
      <c r="G7" s="326">
        <v>6537.1057563440854</v>
      </c>
      <c r="H7" s="326">
        <v>7835.57</v>
      </c>
      <c r="I7" s="532">
        <f>+C7</f>
        <v>7835.57</v>
      </c>
      <c r="J7" s="398">
        <f>+I7</f>
        <v>7835.57</v>
      </c>
      <c r="M7" s="583"/>
    </row>
    <row r="8" spans="1:25" ht="27.7" customHeight="1">
      <c r="A8" s="334" t="s">
        <v>67</v>
      </c>
      <c r="B8" s="349">
        <v>0</v>
      </c>
      <c r="C8" s="326">
        <f>+BIODIESEL!B7</f>
        <v>16080.62</v>
      </c>
      <c r="D8" s="613">
        <v>0</v>
      </c>
      <c r="E8" s="613">
        <f>+C8</f>
        <v>16080.62</v>
      </c>
      <c r="F8" s="613">
        <v>0</v>
      </c>
      <c r="G8" s="613">
        <v>0</v>
      </c>
      <c r="H8" s="613">
        <f>+E8</f>
        <v>16080.62</v>
      </c>
      <c r="I8" s="532">
        <f>+D8</f>
        <v>0</v>
      </c>
      <c r="J8" s="398">
        <f>+D8</f>
        <v>0</v>
      </c>
      <c r="M8" s="601" t="s">
        <v>665</v>
      </c>
      <c r="N8" s="602"/>
      <c r="O8" s="602"/>
      <c r="P8" s="602"/>
      <c r="Q8" s="359"/>
      <c r="R8" s="359"/>
      <c r="S8" s="359"/>
      <c r="T8" s="359"/>
      <c r="U8" s="359"/>
      <c r="V8" s="359"/>
      <c r="W8" s="359"/>
      <c r="X8" s="359"/>
      <c r="Y8" s="359"/>
    </row>
    <row r="9" spans="1:25" ht="35.35" customHeight="1">
      <c r="A9" s="351" t="s">
        <v>160</v>
      </c>
      <c r="B9" s="352">
        <f>+B8*B5+B7*(1-B5)</f>
        <v>7835.57</v>
      </c>
      <c r="C9" s="403">
        <f>+ROUND(C8*C5,2)+C7*(1-C5)</f>
        <v>8000.4685999999992</v>
      </c>
      <c r="D9" s="403">
        <f>+D8*D5+D7*(1-D5)</f>
        <v>6875.1811988924737</v>
      </c>
      <c r="E9" s="403">
        <f>ROUND((E8*E5),2)+ROUND(E7*(1-E5),2)</f>
        <v>8077.61</v>
      </c>
      <c r="F9" s="403">
        <f t="shared" ref="F9:G9" si="0">+F8*F5+F7*(1-F5)</f>
        <v>6794.4669776671717</v>
      </c>
      <c r="G9" s="403">
        <f t="shared" si="0"/>
        <v>6537.1057563440854</v>
      </c>
      <c r="H9" s="403">
        <f>+ROUND(H8*H5,2)+H7*(1-H5)</f>
        <v>8000.4685999999992</v>
      </c>
      <c r="I9" s="533">
        <f>+I7</f>
        <v>7835.57</v>
      </c>
      <c r="J9" s="404">
        <f>+J7</f>
        <v>7835.57</v>
      </c>
      <c r="L9" s="566" t="s">
        <v>159</v>
      </c>
      <c r="M9" s="584"/>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7" customHeight="1">
      <c r="A10" s="334" t="s">
        <v>65</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32">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7" customHeight="1">
      <c r="A11" s="334" t="s">
        <v>192</v>
      </c>
      <c r="B11" s="326">
        <v>22.26</v>
      </c>
      <c r="C11" s="350">
        <f>+B11</f>
        <v>22.26</v>
      </c>
      <c r="D11" s="350">
        <f>+B11</f>
        <v>22.26</v>
      </c>
      <c r="E11" s="350">
        <f>+B11</f>
        <v>22.26</v>
      </c>
      <c r="F11" s="350">
        <f>+B11</f>
        <v>22.26</v>
      </c>
      <c r="G11" s="350">
        <f>+C11</f>
        <v>22.26</v>
      </c>
      <c r="H11" s="350">
        <f>+B11</f>
        <v>22.26</v>
      </c>
      <c r="I11" s="532">
        <f>+D11</f>
        <v>22.26</v>
      </c>
      <c r="J11" s="398">
        <f>+D11</f>
        <v>22.26</v>
      </c>
      <c r="M11" s="359"/>
      <c r="N11" s="359"/>
      <c r="O11" s="359"/>
      <c r="P11" s="359"/>
      <c r="Q11" s="359"/>
      <c r="R11" s="567">
        <f t="shared" ref="R11:U11" si="1">+(R10-R9)/R9</f>
        <v>0</v>
      </c>
      <c r="S11" s="567">
        <f t="shared" si="1"/>
        <v>-8.6521733848730145E-2</v>
      </c>
      <c r="T11" s="567">
        <f t="shared" si="1"/>
        <v>0</v>
      </c>
      <c r="U11" s="567">
        <f t="shared" si="1"/>
        <v>0</v>
      </c>
      <c r="V11" s="359"/>
      <c r="W11" s="359"/>
      <c r="X11" s="359"/>
      <c r="Y11" s="359"/>
    </row>
    <row r="12" spans="1:25" ht="27.7" hidden="1" customHeight="1">
      <c r="A12" s="102" t="s">
        <v>236</v>
      </c>
      <c r="B12" s="350">
        <f>+'COMBUSTIBLES '!E10</f>
        <v>0</v>
      </c>
      <c r="C12" s="350">
        <f>+B12</f>
        <v>0</v>
      </c>
      <c r="D12" s="350">
        <f>+C12</f>
        <v>0</v>
      </c>
      <c r="E12" s="350">
        <f>+D12</f>
        <v>0</v>
      </c>
      <c r="F12" s="350">
        <f>+E12</f>
        <v>0</v>
      </c>
      <c r="G12" s="350">
        <f>+F12</f>
        <v>0</v>
      </c>
      <c r="H12" s="350">
        <f>+F12</f>
        <v>0</v>
      </c>
      <c r="I12" s="532">
        <f>+D12</f>
        <v>0</v>
      </c>
      <c r="J12" s="398">
        <f>+D12</f>
        <v>0</v>
      </c>
      <c r="M12" s="359"/>
      <c r="N12" s="359"/>
      <c r="O12" s="359"/>
      <c r="P12" s="359"/>
      <c r="Q12" s="359"/>
      <c r="R12" s="359"/>
      <c r="S12" s="359"/>
      <c r="T12" s="359"/>
      <c r="U12" s="359"/>
      <c r="V12" s="359"/>
      <c r="W12" s="359"/>
      <c r="X12" s="359"/>
      <c r="Y12" s="359"/>
    </row>
    <row r="13" spans="1:25" ht="27.7"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32">
        <f>+Variables!C32</f>
        <v>531.27</v>
      </c>
      <c r="J13" s="398">
        <f>+Variables!C33</f>
        <v>677.11</v>
      </c>
    </row>
    <row r="14" spans="1:25" ht="27.7" customHeight="1">
      <c r="A14" s="334" t="s">
        <v>268</v>
      </c>
      <c r="B14" s="432" t="str">
        <f>+'COMBUSTIBLES '!C12</f>
        <v>(3)</v>
      </c>
      <c r="C14" s="432" t="str">
        <f>+'COMBUSTIBLES '!D12</f>
        <v>(3)</v>
      </c>
      <c r="D14" s="432" t="str">
        <f>+B14</f>
        <v>(3)</v>
      </c>
      <c r="E14" s="432" t="str">
        <f>+D14</f>
        <v>(3)</v>
      </c>
      <c r="F14" s="432" t="str">
        <f>+D14</f>
        <v>(3)</v>
      </c>
      <c r="G14" s="432" t="str">
        <f>+E14</f>
        <v>(3)</v>
      </c>
      <c r="H14" s="432" t="str">
        <f>+F14</f>
        <v>(3)</v>
      </c>
      <c r="I14" s="534" t="str">
        <f>+G14</f>
        <v>(3)</v>
      </c>
      <c r="J14" s="101" t="str">
        <f>+H14</f>
        <v>(3)</v>
      </c>
    </row>
    <row r="15" spans="1:25" ht="27.7" customHeight="1">
      <c r="A15" s="301" t="s">
        <v>311</v>
      </c>
      <c r="B15" s="350">
        <f>+'COMBUSTIBLES '!E13</f>
        <v>179</v>
      </c>
      <c r="C15" s="350">
        <f>+BIODIESEL!E13</f>
        <v>175.42</v>
      </c>
      <c r="D15" s="350">
        <f>+B15</f>
        <v>179</v>
      </c>
      <c r="E15" s="350">
        <f>+BIODIESEL!E13</f>
        <v>175.42</v>
      </c>
      <c r="F15" s="350">
        <f>+'COMBUSTIBLES '!E13</f>
        <v>179</v>
      </c>
      <c r="G15" s="350"/>
      <c r="H15" s="350">
        <f>+E15</f>
        <v>175.42</v>
      </c>
      <c r="I15" s="532">
        <f>+D15</f>
        <v>179</v>
      </c>
      <c r="J15" s="398">
        <f>+I15</f>
        <v>179</v>
      </c>
      <c r="L15" s="429"/>
    </row>
    <row r="16" spans="1:25" ht="27.7" customHeight="1">
      <c r="A16" s="334" t="s">
        <v>249</v>
      </c>
      <c r="B16" s="353" t="s">
        <v>22</v>
      </c>
      <c r="C16" s="350" t="s">
        <v>22</v>
      </c>
      <c r="D16" s="350" t="str">
        <f t="shared" ref="D16:G17" si="2">+C16</f>
        <v>(***)</v>
      </c>
      <c r="E16" s="350" t="str">
        <f t="shared" si="2"/>
        <v>(***)</v>
      </c>
      <c r="F16" s="350" t="str">
        <f t="shared" si="2"/>
        <v>(***)</v>
      </c>
      <c r="G16" s="350" t="str">
        <f t="shared" si="2"/>
        <v>(***)</v>
      </c>
      <c r="H16" s="350" t="str">
        <f>+F16</f>
        <v>(***)</v>
      </c>
      <c r="I16" s="532" t="str">
        <f>+D16</f>
        <v>(***)</v>
      </c>
      <c r="J16" s="398" t="s">
        <v>22</v>
      </c>
    </row>
    <row r="17" spans="1:11" ht="27.7" customHeight="1">
      <c r="A17" s="334" t="s">
        <v>248</v>
      </c>
      <c r="B17" s="350" t="s">
        <v>222</v>
      </c>
      <c r="C17" s="350" t="str">
        <f>+B17</f>
        <v>(****)</v>
      </c>
      <c r="D17" s="350" t="str">
        <f t="shared" si="2"/>
        <v>(****)</v>
      </c>
      <c r="E17" s="350" t="str">
        <f t="shared" si="2"/>
        <v>(****)</v>
      </c>
      <c r="F17" s="350" t="str">
        <f t="shared" si="2"/>
        <v>(****)</v>
      </c>
      <c r="G17" s="350" t="str">
        <f t="shared" si="2"/>
        <v>(****)</v>
      </c>
      <c r="H17" s="350" t="str">
        <f>+F17</f>
        <v>(****)</v>
      </c>
      <c r="I17" s="532" t="str">
        <f>+D17</f>
        <v>(****)</v>
      </c>
      <c r="J17" s="398" t="s">
        <v>222</v>
      </c>
    </row>
    <row r="18" spans="1:11" ht="27.7" customHeight="1" thickBot="1">
      <c r="A18" s="354" t="s">
        <v>55</v>
      </c>
      <c r="B18" s="338">
        <f>+'COMBUSTIBLES '!E16</f>
        <v>301.48</v>
      </c>
      <c r="C18" s="338">
        <f>+B18</f>
        <v>301.48</v>
      </c>
      <c r="D18" s="338">
        <f>+B18</f>
        <v>301.48</v>
      </c>
      <c r="E18" s="338">
        <f>+B18</f>
        <v>301.48</v>
      </c>
      <c r="F18" s="338">
        <f>+D18</f>
        <v>301.48</v>
      </c>
      <c r="G18" s="338">
        <f>+E18</f>
        <v>301.48</v>
      </c>
      <c r="H18" s="338">
        <f>+F18</f>
        <v>301.48</v>
      </c>
      <c r="I18" s="535">
        <f>+D18</f>
        <v>301.48</v>
      </c>
      <c r="J18" s="339"/>
    </row>
    <row r="19" spans="1:11" s="359" customFormat="1" ht="15.8" customHeight="1" thickTop="1">
      <c r="A19" s="23"/>
      <c r="B19" s="24"/>
      <c r="C19" s="24"/>
      <c r="D19" s="24"/>
      <c r="I19" s="24"/>
    </row>
    <row r="20" spans="1:11" s="359" customFormat="1" ht="15.8" customHeight="1">
      <c r="A20" s="422" t="s">
        <v>310</v>
      </c>
      <c r="B20" s="24"/>
      <c r="C20" s="24"/>
      <c r="D20" s="24"/>
      <c r="I20" s="24"/>
    </row>
    <row r="21" spans="1:11" s="359" customFormat="1" ht="15.8" customHeight="1">
      <c r="A21" s="23"/>
      <c r="B21" s="24"/>
      <c r="C21" s="24"/>
      <c r="D21" s="24"/>
      <c r="I21" s="24"/>
    </row>
    <row r="22" spans="1:11" s="359" customFormat="1" ht="15.8" customHeight="1">
      <c r="A22" s="356" t="s">
        <v>30</v>
      </c>
      <c r="B22" s="24"/>
      <c r="C22" s="24"/>
      <c r="D22" s="24"/>
      <c r="I22" s="24"/>
    </row>
    <row r="23" spans="1:11" s="359" customFormat="1" ht="3.75" customHeight="1">
      <c r="A23" s="23"/>
      <c r="B23" s="24"/>
      <c r="C23" s="24"/>
      <c r="D23" s="24"/>
      <c r="I23" s="24"/>
    </row>
    <row r="24" spans="1:11" s="18" customFormat="1" ht="14.3">
      <c r="A24" s="355" t="s">
        <v>165</v>
      </c>
      <c r="B24" s="17"/>
      <c r="C24" s="17"/>
    </row>
    <row r="25" spans="1:11" s="18" customFormat="1" ht="5.3" customHeight="1">
      <c r="A25" s="16"/>
      <c r="B25" s="17"/>
      <c r="C25" s="17"/>
    </row>
    <row r="26" spans="1:11" s="18" customFormat="1" ht="14.3">
      <c r="A26" s="355" t="s">
        <v>166</v>
      </c>
      <c r="B26" s="17"/>
      <c r="C26" s="17"/>
      <c r="K26" s="18" t="s">
        <v>159</v>
      </c>
    </row>
    <row r="27" spans="1:11" s="18" customFormat="1" ht="11.25" customHeight="1">
      <c r="A27" s="16"/>
      <c r="B27" s="17"/>
      <c r="C27" s="17"/>
    </row>
    <row r="28" spans="1:11" s="18" customFormat="1" ht="32.299999999999997" customHeight="1">
      <c r="A28" s="862" t="s">
        <v>246</v>
      </c>
      <c r="B28" s="862"/>
      <c r="C28" s="862"/>
      <c r="D28" s="862"/>
      <c r="E28" s="862"/>
      <c r="F28" s="862"/>
      <c r="G28" s="862"/>
      <c r="H28" s="862"/>
      <c r="I28" s="862"/>
      <c r="J28" s="862"/>
    </row>
    <row r="29" spans="1:11" s="18" customFormat="1" ht="8.35" customHeight="1">
      <c r="A29" s="16"/>
      <c r="B29" s="17"/>
      <c r="C29" s="17"/>
    </row>
    <row r="30" spans="1:11" s="18" customFormat="1" ht="30.75" customHeight="1">
      <c r="A30" s="862" t="s">
        <v>251</v>
      </c>
      <c r="B30" s="862"/>
      <c r="C30" s="862"/>
      <c r="D30" s="862"/>
      <c r="E30" s="862"/>
      <c r="F30" s="862"/>
      <c r="G30" s="862"/>
      <c r="H30" s="862"/>
      <c r="I30" s="862"/>
      <c r="J30" s="862"/>
    </row>
    <row r="31" spans="1:11" s="18" customFormat="1" ht="5.3" customHeight="1">
      <c r="A31" s="16"/>
      <c r="B31" s="17"/>
      <c r="C31" s="17"/>
    </row>
    <row r="32" spans="1:11" s="18" customFormat="1" ht="38.25" customHeight="1">
      <c r="A32" s="862" t="s">
        <v>218</v>
      </c>
      <c r="B32" s="862"/>
      <c r="C32" s="862"/>
      <c r="D32" s="862"/>
      <c r="E32" s="862"/>
      <c r="F32" s="862"/>
      <c r="G32" s="862"/>
      <c r="H32" s="862"/>
      <c r="I32" s="862"/>
      <c r="J32" s="862"/>
    </row>
    <row r="33" spans="1:10" s="18" customFormat="1" ht="14.3">
      <c r="A33" s="16" t="s">
        <v>159</v>
      </c>
      <c r="B33" s="17"/>
      <c r="C33" s="17"/>
    </row>
    <row r="34" spans="1:10" s="18" customFormat="1" ht="14.3" customHeight="1">
      <c r="A34" s="863" t="s">
        <v>596</v>
      </c>
      <c r="B34" s="863"/>
      <c r="C34" s="863"/>
      <c r="D34" s="863"/>
      <c r="E34" s="863"/>
      <c r="F34" s="863"/>
      <c r="G34" s="863"/>
      <c r="H34" s="863"/>
      <c r="I34" s="863"/>
      <c r="J34" s="863"/>
    </row>
    <row r="35" spans="1:10" ht="68.95" customHeight="1">
      <c r="A35" s="863"/>
      <c r="B35" s="863"/>
      <c r="C35" s="863"/>
      <c r="D35" s="863"/>
      <c r="E35" s="863"/>
      <c r="F35" s="863"/>
      <c r="G35" s="863"/>
      <c r="H35" s="863"/>
      <c r="I35" s="863"/>
      <c r="J35" s="863"/>
    </row>
    <row r="36" spans="1:10">
      <c r="A36" s="798" t="s">
        <v>159</v>
      </c>
      <c r="B36" s="798"/>
      <c r="C36" s="798"/>
      <c r="D36" s="798"/>
      <c r="E36" s="798"/>
      <c r="F36" s="798"/>
      <c r="G36" s="798"/>
    </row>
    <row r="51" spans="4:12">
      <c r="D51" s="494"/>
      <c r="E51" s="494"/>
      <c r="F51" s="494"/>
      <c r="G51" s="494"/>
      <c r="H51" s="494"/>
      <c r="I51" s="494"/>
      <c r="J51" s="494"/>
      <c r="K51" s="494"/>
      <c r="L51" s="494"/>
    </row>
    <row r="52" spans="4:12">
      <c r="D52" s="494"/>
      <c r="E52" s="494"/>
      <c r="F52" s="494"/>
      <c r="G52" s="494"/>
      <c r="H52" s="494"/>
      <c r="I52" s="494"/>
      <c r="J52" s="494"/>
      <c r="K52" s="494"/>
      <c r="L52" s="494"/>
    </row>
  </sheetData>
  <sheetProtection algorithmName="SHA-512" hashValue="RK+vAe7VN5SWXLIs72ia/VT+zELrQzv0SQ80LMKVkS4JXqO+Yj7vTtHNU4SXEytiNZ2SXAPBHIIFPuOY/UurbA==" saltValue="5EFH2quQfuZjV6WBJgVt+A==" spinCount="100000" sheet="1" objects="1" scenarios="1"/>
  <mergeCells count="8">
    <mergeCell ref="A1:J1"/>
    <mergeCell ref="A2:J2"/>
    <mergeCell ref="A36:G36"/>
    <mergeCell ref="A3:F3"/>
    <mergeCell ref="A28:J28"/>
    <mergeCell ref="A30:J30"/>
    <mergeCell ref="A32:J32"/>
    <mergeCell ref="A34:J35"/>
  </mergeCells>
  <phoneticPr fontId="26"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Z15" sqref="Z15"/>
    </sheetView>
  </sheetViews>
  <sheetFormatPr baseColWidth="10" defaultColWidth="11.375" defaultRowHeight="13.6" outlineLevelRow="1"/>
  <cols>
    <col min="1" max="1" width="4.625" style="139" customWidth="1"/>
    <col min="2" max="2" width="34.375" style="137" customWidth="1"/>
    <col min="3" max="3" width="16.25" style="139" customWidth="1"/>
    <col min="4" max="4" width="2.625" style="139" customWidth="1"/>
    <col min="5" max="7" width="14.25" style="139" customWidth="1"/>
    <col min="8" max="16384" width="11.375" style="139"/>
  </cols>
  <sheetData>
    <row r="1" spans="2:7" ht="12.9">
      <c r="B1" s="419" t="s">
        <v>312</v>
      </c>
      <c r="C1" s="420">
        <v>490</v>
      </c>
    </row>
    <row r="2" spans="2:7" ht="12.9">
      <c r="B2" s="419" t="s">
        <v>313</v>
      </c>
      <c r="C2" s="420">
        <v>469</v>
      </c>
    </row>
    <row r="3" spans="2:7" ht="12.9">
      <c r="B3" s="419" t="s">
        <v>297</v>
      </c>
      <c r="C3" s="420">
        <v>930</v>
      </c>
    </row>
    <row r="4" spans="2:7" ht="12.9" outlineLevel="1">
      <c r="B4" s="419" t="s">
        <v>298</v>
      </c>
      <c r="C4" s="420">
        <v>1109.5455419999998</v>
      </c>
    </row>
    <row r="5" spans="2:7" ht="12.9" outlineLevel="1">
      <c r="B5" s="419" t="s">
        <v>299</v>
      </c>
      <c r="C5" s="420">
        <v>529.41173003999995</v>
      </c>
    </row>
    <row r="6" spans="2:7" ht="12.9">
      <c r="B6" s="419" t="s">
        <v>303</v>
      </c>
      <c r="C6" s="420">
        <v>965.24</v>
      </c>
    </row>
    <row r="7" spans="2:7" ht="12.9">
      <c r="B7" s="419" t="s">
        <v>305</v>
      </c>
      <c r="C7" s="420">
        <v>1021.31</v>
      </c>
    </row>
    <row r="8" spans="2:7" ht="12.9">
      <c r="B8" s="419" t="s">
        <v>304</v>
      </c>
      <c r="C8" s="420">
        <v>639.51</v>
      </c>
    </row>
    <row r="9" spans="2:7" ht="12.9">
      <c r="B9" s="419" t="s">
        <v>327</v>
      </c>
      <c r="C9" s="420">
        <v>597.75187500000004</v>
      </c>
    </row>
    <row r="10" spans="2:7" ht="12.9">
      <c r="B10" s="419" t="s">
        <v>315</v>
      </c>
      <c r="C10" s="420">
        <v>135</v>
      </c>
    </row>
    <row r="11" spans="2:7" ht="12.9">
      <c r="B11" s="419" t="s">
        <v>316</v>
      </c>
      <c r="C11" s="420">
        <v>152</v>
      </c>
    </row>
    <row r="12" spans="2:7" ht="12.9">
      <c r="B12" s="419" t="s">
        <v>317</v>
      </c>
      <c r="C12" s="420">
        <v>148</v>
      </c>
    </row>
    <row r="13" spans="2:7" ht="12.9">
      <c r="B13" s="419" t="s">
        <v>318</v>
      </c>
      <c r="C13" s="420">
        <v>177</v>
      </c>
      <c r="F13" s="139">
        <v>490</v>
      </c>
      <c r="G13" s="620">
        <f>+F13*(1+$C$15)*(1+$C$16)*(1+3.8%)</f>
        <v>546.25819534439995</v>
      </c>
    </row>
    <row r="14" spans="2:7">
      <c r="B14" s="418" t="s">
        <v>328</v>
      </c>
      <c r="C14" s="426">
        <v>5.7500000000000002E-2</v>
      </c>
      <c r="F14" s="139">
        <v>930</v>
      </c>
      <c r="G14" s="620">
        <f>+F14*(1+$C$15)*(1+$C$16)*(1+3.8%)</f>
        <v>1036.7757585108</v>
      </c>
    </row>
    <row r="15" spans="2:7">
      <c r="B15" s="418" t="s">
        <v>563</v>
      </c>
      <c r="C15" s="426">
        <v>4.0899999999999999E-2</v>
      </c>
      <c r="D15" s="427"/>
      <c r="F15" s="139">
        <v>469</v>
      </c>
      <c r="G15" s="620">
        <f>+F15*(1+$C$15)*(1+$C$16)*(1+3.8%)</f>
        <v>522.84712982964004</v>
      </c>
    </row>
    <row r="16" spans="2:7">
      <c r="B16" s="418" t="s">
        <v>573</v>
      </c>
      <c r="C16" s="426">
        <v>3.1800000000000002E-2</v>
      </c>
      <c r="D16" s="427"/>
    </row>
    <row r="17" spans="2:12" s="136" customFormat="1">
      <c r="B17" s="746" t="str">
        <f>+'COMBUSTIBLES '!A1</f>
        <v>01 DE JUNIO 2021</v>
      </c>
      <c r="C17" s="143" t="s">
        <v>264</v>
      </c>
      <c r="E17" s="746" t="s">
        <v>701</v>
      </c>
      <c r="F17" s="746"/>
      <c r="G17" s="746"/>
    </row>
    <row r="18" spans="2:12" s="136" customFormat="1">
      <c r="B18" s="746"/>
      <c r="C18" s="144" t="s">
        <v>175</v>
      </c>
      <c r="D18" s="145"/>
      <c r="E18" s="747" t="s">
        <v>175</v>
      </c>
      <c r="F18" s="747"/>
      <c r="G18" s="747"/>
    </row>
    <row r="19" spans="2:12" s="136" customFormat="1">
      <c r="B19" s="746"/>
      <c r="C19" s="146" t="s">
        <v>179</v>
      </c>
      <c r="D19" s="145"/>
      <c r="E19" s="146" t="s">
        <v>176</v>
      </c>
      <c r="F19" s="146" t="s">
        <v>177</v>
      </c>
      <c r="G19" s="146" t="s">
        <v>178</v>
      </c>
      <c r="I19" s="136">
        <f>1555*1.0244</f>
        <v>1592.942</v>
      </c>
    </row>
    <row r="20" spans="2:12" ht="15.65">
      <c r="B20" s="140" t="s">
        <v>25</v>
      </c>
      <c r="C20" s="678">
        <v>555.04999999999995</v>
      </c>
      <c r="D20" s="138"/>
      <c r="E20" s="141">
        <v>5078.7700000000004</v>
      </c>
      <c r="F20" s="141">
        <v>1900</v>
      </c>
      <c r="G20" s="141">
        <v>1900</v>
      </c>
      <c r="H20" s="297"/>
      <c r="I20" s="292"/>
      <c r="J20" s="292"/>
      <c r="K20" s="292"/>
      <c r="L20" s="292"/>
    </row>
    <row r="21" spans="2:12" ht="15.65">
      <c r="B21" s="140" t="s">
        <v>186</v>
      </c>
      <c r="C21" s="678">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65">
      <c r="B22" s="140" t="s">
        <v>187</v>
      </c>
      <c r="C22" s="678">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65">
      <c r="B23" s="140" t="s">
        <v>10</v>
      </c>
      <c r="C23" s="678">
        <v>1053.47</v>
      </c>
      <c r="D23" s="138"/>
      <c r="E23" s="141">
        <v>7107.81</v>
      </c>
      <c r="F23" s="141" t="s">
        <v>158</v>
      </c>
      <c r="G23" s="141" t="s">
        <v>158</v>
      </c>
      <c r="H23" s="297">
        <f>+C23*90%</f>
        <v>948.12300000000005</v>
      </c>
      <c r="I23" s="292">
        <f>+C23*92%</f>
        <v>969.19240000000002</v>
      </c>
      <c r="J23" s="292"/>
      <c r="K23" s="292"/>
      <c r="L23" s="292"/>
    </row>
    <row r="24" spans="2:12" ht="15.65">
      <c r="B24" s="140" t="s">
        <v>301</v>
      </c>
      <c r="C24" s="678">
        <v>1093.3800000000001</v>
      </c>
      <c r="D24" s="138"/>
      <c r="E24" s="421"/>
      <c r="F24" s="421"/>
      <c r="G24" s="421"/>
      <c r="H24" s="297"/>
      <c r="I24" s="292"/>
      <c r="J24" s="292"/>
      <c r="K24" s="292"/>
      <c r="L24" s="292"/>
    </row>
    <row r="25" spans="2:12" ht="15.65">
      <c r="B25" s="140" t="s">
        <v>306</v>
      </c>
      <c r="C25" s="678">
        <v>1156.9000000000001</v>
      </c>
      <c r="D25" s="470" t="s">
        <v>565</v>
      </c>
      <c r="E25" s="686"/>
      <c r="F25" s="421"/>
      <c r="G25" s="421"/>
      <c r="H25" s="297"/>
      <c r="I25" s="292"/>
      <c r="J25" s="292"/>
      <c r="K25" s="292"/>
      <c r="L25" s="292"/>
    </row>
    <row r="26" spans="2:12" ht="6.8" customHeight="1">
      <c r="C26" s="138"/>
      <c r="D26" s="138"/>
      <c r="E26" s="138"/>
      <c r="F26" s="138"/>
      <c r="G26" s="138"/>
      <c r="H26" s="292"/>
      <c r="I26" s="292"/>
      <c r="J26" s="292"/>
      <c r="K26" s="292"/>
      <c r="L26" s="292"/>
    </row>
    <row r="27" spans="2:12" ht="15.65">
      <c r="B27" s="140" t="s">
        <v>170</v>
      </c>
      <c r="C27" s="678">
        <f>+ROUND('Resoluciones, leyes'!$Q$40,2)</f>
        <v>531.27</v>
      </c>
      <c r="D27" s="138"/>
      <c r="E27" s="141">
        <v>5024.59</v>
      </c>
      <c r="F27" s="141">
        <v>1900</v>
      </c>
      <c r="G27" s="141">
        <v>3400</v>
      </c>
      <c r="H27" s="297"/>
      <c r="I27" s="292"/>
      <c r="J27" s="662" t="s">
        <v>697</v>
      </c>
      <c r="K27" s="292"/>
      <c r="L27" s="292"/>
    </row>
    <row r="28" spans="2:12">
      <c r="B28" s="140" t="s">
        <v>171</v>
      </c>
      <c r="C28" s="679">
        <f>+C27</f>
        <v>531.27</v>
      </c>
      <c r="D28" s="138"/>
      <c r="E28" s="141">
        <f t="shared" ref="E28:G31" si="1">+E27</f>
        <v>5024.59</v>
      </c>
      <c r="F28" s="141">
        <f t="shared" si="1"/>
        <v>1900</v>
      </c>
      <c r="G28" s="141">
        <f t="shared" si="1"/>
        <v>3400</v>
      </c>
      <c r="H28" s="292"/>
      <c r="I28" s="292"/>
      <c r="J28" s="292"/>
      <c r="K28" s="292"/>
      <c r="L28" s="292"/>
    </row>
    <row r="29" spans="2:12">
      <c r="B29" s="140" t="s">
        <v>172</v>
      </c>
      <c r="C29" s="679">
        <f>+C28</f>
        <v>531.27</v>
      </c>
      <c r="D29" s="138"/>
      <c r="E29" s="141">
        <f t="shared" si="1"/>
        <v>5024.59</v>
      </c>
      <c r="F29" s="141">
        <f t="shared" si="1"/>
        <v>1900</v>
      </c>
      <c r="G29" s="141">
        <f t="shared" si="1"/>
        <v>3400</v>
      </c>
      <c r="J29" s="292"/>
      <c r="K29" s="292"/>
      <c r="L29" s="292"/>
    </row>
    <row r="30" spans="2:12">
      <c r="B30" s="140" t="s">
        <v>173</v>
      </c>
      <c r="C30" s="679">
        <f>+C29</f>
        <v>531.27</v>
      </c>
      <c r="D30" s="138"/>
      <c r="E30" s="141">
        <f t="shared" si="1"/>
        <v>5024.59</v>
      </c>
      <c r="F30" s="141">
        <f t="shared" si="1"/>
        <v>1900</v>
      </c>
      <c r="G30" s="141">
        <f t="shared" si="1"/>
        <v>3400</v>
      </c>
      <c r="H30" s="292">
        <f>+C30*98%</f>
        <v>520.64459999999997</v>
      </c>
      <c r="I30" s="292">
        <f>+C30*92%</f>
        <v>488.76839999999999</v>
      </c>
    </row>
    <row r="31" spans="2:12">
      <c r="B31" s="140" t="s">
        <v>174</v>
      </c>
      <c r="C31" s="679">
        <f>+C30</f>
        <v>531.27</v>
      </c>
      <c r="D31" s="138"/>
      <c r="E31" s="141">
        <f t="shared" si="1"/>
        <v>5024.59</v>
      </c>
      <c r="F31" s="141">
        <f t="shared" si="1"/>
        <v>1900</v>
      </c>
      <c r="G31" s="141">
        <f t="shared" si="1"/>
        <v>3400</v>
      </c>
      <c r="H31" s="292">
        <f>+C29*0.96</f>
        <v>510.01919999999996</v>
      </c>
      <c r="I31" s="292">
        <f>+C31*90%</f>
        <v>478.14299999999997</v>
      </c>
    </row>
    <row r="32" spans="2:12">
      <c r="B32" s="140" t="s">
        <v>281</v>
      </c>
      <c r="C32" s="679">
        <f>C27</f>
        <v>531.27</v>
      </c>
    </row>
    <row r="33" spans="2:7">
      <c r="B33" s="140" t="s">
        <v>300</v>
      </c>
      <c r="C33" s="679">
        <f>+ROUND('Resoluciones, leyes'!$Q$43,2)</f>
        <v>677.11</v>
      </c>
    </row>
    <row r="34" spans="2:7">
      <c r="B34" s="140" t="s">
        <v>302</v>
      </c>
      <c r="C34" s="678">
        <v>724.42</v>
      </c>
    </row>
    <row r="36" spans="2:7">
      <c r="B36" s="140" t="s">
        <v>188</v>
      </c>
      <c r="C36" s="142" t="s">
        <v>11</v>
      </c>
      <c r="D36" s="138"/>
      <c r="E36" s="141"/>
      <c r="F36" s="141"/>
      <c r="G36" s="141"/>
    </row>
    <row r="37" spans="2:7">
      <c r="B37" s="140" t="s">
        <v>189</v>
      </c>
      <c r="C37" s="142" t="s">
        <v>11</v>
      </c>
      <c r="D37" s="138"/>
      <c r="E37" s="141"/>
      <c r="F37" s="141"/>
      <c r="G37" s="141"/>
    </row>
    <row r="39" spans="2:7">
      <c r="B39" s="140" t="s">
        <v>265</v>
      </c>
      <c r="C39" s="141">
        <v>0.19</v>
      </c>
    </row>
    <row r="40" spans="2:7">
      <c r="C40" s="293"/>
    </row>
    <row r="41" spans="2:7">
      <c r="B41" s="418" t="s">
        <v>626</v>
      </c>
      <c r="C41" s="426" t="s">
        <v>159</v>
      </c>
    </row>
    <row r="42" spans="2:7">
      <c r="B42" s="418"/>
      <c r="C42" s="426" t="s">
        <v>159</v>
      </c>
    </row>
    <row r="43" spans="2:7">
      <c r="B43" s="746" t="str">
        <f>B17</f>
        <v>01 DE JUNIO 2021</v>
      </c>
      <c r="C43" s="424" t="s">
        <v>314</v>
      </c>
    </row>
    <row r="44" spans="2:7" ht="12.9">
      <c r="B44" s="746"/>
      <c r="C44" s="425" t="s">
        <v>175</v>
      </c>
    </row>
    <row r="45" spans="2:7" ht="12.9">
      <c r="B45" s="746"/>
      <c r="C45" s="146" t="s">
        <v>179</v>
      </c>
    </row>
    <row r="46" spans="2:7">
      <c r="B46" s="140" t="s">
        <v>319</v>
      </c>
      <c r="C46" s="684">
        <v>159</v>
      </c>
    </row>
    <row r="47" spans="2:7">
      <c r="B47" s="140" t="s">
        <v>18</v>
      </c>
      <c r="C47" s="684">
        <v>179</v>
      </c>
    </row>
    <row r="48" spans="2:7">
      <c r="B48" s="140" t="s">
        <v>320</v>
      </c>
      <c r="C48" s="684">
        <v>174</v>
      </c>
    </row>
    <row r="49" spans="2:8">
      <c r="B49" s="140" t="s">
        <v>321</v>
      </c>
      <c r="C49" s="684">
        <v>208</v>
      </c>
    </row>
    <row r="58" spans="2:8">
      <c r="C58" s="708"/>
    </row>
    <row r="59" spans="2:8">
      <c r="H59" s="687">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zoomScaleNormal="100" workbookViewId="0">
      <selection activeCell="K1" sqref="K1"/>
    </sheetView>
  </sheetViews>
  <sheetFormatPr baseColWidth="10" defaultRowHeight="12.9"/>
  <cols>
    <col min="12" max="12" width="34.75" customWidth="1"/>
  </cols>
  <sheetData>
    <row r="4" spans="12:12">
      <c r="L4" s="621" t="s">
        <v>669</v>
      </c>
    </row>
    <row r="31" spans="12:16" ht="18" customHeight="1">
      <c r="M31" s="625">
        <v>2017</v>
      </c>
      <c r="N31" s="625">
        <v>2018</v>
      </c>
      <c r="O31" s="625">
        <v>2019</v>
      </c>
      <c r="P31" s="625">
        <v>2020</v>
      </c>
    </row>
    <row r="32" spans="12:16" ht="14.95" customHeight="1">
      <c r="L32" s="624" t="s">
        <v>670</v>
      </c>
      <c r="M32" s="626">
        <v>4.0899999999999999E-2</v>
      </c>
      <c r="N32" s="626">
        <v>3.1800000000000002E-2</v>
      </c>
      <c r="O32" s="626">
        <v>3.7999999999999999E-2</v>
      </c>
      <c r="P32" s="677">
        <v>1.61E-2</v>
      </c>
    </row>
    <row r="34" spans="12:18" ht="13.6">
      <c r="L34" s="628" t="s">
        <v>682</v>
      </c>
      <c r="M34" s="629"/>
      <c r="N34" s="629"/>
      <c r="O34" s="629"/>
      <c r="P34" s="629"/>
      <c r="Q34" s="662" t="s">
        <v>697</v>
      </c>
    </row>
    <row r="35" spans="12:18" ht="13.6">
      <c r="L35" s="627"/>
    </row>
    <row r="36" spans="12:18" ht="13.6">
      <c r="L36" s="751"/>
      <c r="M36" s="751"/>
      <c r="N36" s="750" t="s">
        <v>674</v>
      </c>
      <c r="O36" s="750"/>
      <c r="P36" s="750"/>
    </row>
    <row r="37" spans="12:18" ht="14.3" customHeight="1">
      <c r="L37" s="631" t="s">
        <v>676</v>
      </c>
      <c r="M37" s="637" t="s">
        <v>675</v>
      </c>
      <c r="N37" s="637">
        <v>2018</v>
      </c>
      <c r="O37" s="637">
        <v>2019</v>
      </c>
      <c r="P37" s="637">
        <v>2020</v>
      </c>
      <c r="Q37" s="637">
        <v>2021</v>
      </c>
    </row>
    <row r="38" spans="12:18" ht="13.6" customHeight="1">
      <c r="L38" s="632" t="s">
        <v>671</v>
      </c>
      <c r="M38" s="638">
        <v>490</v>
      </c>
      <c r="N38" s="636">
        <f>+M38*(1+$M$32)</f>
        <v>510.041</v>
      </c>
      <c r="O38" s="636">
        <f>+N38*(1+$N$32)</f>
        <v>526.26030379999997</v>
      </c>
      <c r="P38" s="683">
        <f>+O38*(1+$O$32)</f>
        <v>546.25819534439995</v>
      </c>
      <c r="Q38" s="682">
        <f t="shared" ref="Q38:Q43" si="0">+P38*(1+$P$32)</f>
        <v>555.05295228944476</v>
      </c>
    </row>
    <row r="39" spans="12:18" ht="13.6" customHeight="1">
      <c r="L39" s="632" t="s">
        <v>672</v>
      </c>
      <c r="M39" s="638">
        <v>930</v>
      </c>
      <c r="N39" s="636">
        <f>+M39*(1+$M$32)</f>
        <v>968.03699999999992</v>
      </c>
      <c r="O39" s="636">
        <f>+N39*(1+$N$32)</f>
        <v>998.82057659999998</v>
      </c>
      <c r="P39" s="683">
        <f>+O39*(1+$O$32)</f>
        <v>1036.7757585108</v>
      </c>
      <c r="Q39" s="682">
        <f t="shared" si="0"/>
        <v>1053.4678482228239</v>
      </c>
    </row>
    <row r="40" spans="12:18" ht="13.6" customHeight="1">
      <c r="L40" s="632" t="s">
        <v>18</v>
      </c>
      <c r="M40" s="638">
        <v>469</v>
      </c>
      <c r="N40" s="636">
        <f>+M40*(1+$M$32)</f>
        <v>488.18209999999999</v>
      </c>
      <c r="O40" s="636">
        <f>+N40*(1+$N$32)</f>
        <v>503.70629078000002</v>
      </c>
      <c r="P40" s="683">
        <f>+O40*(1+$O$32)</f>
        <v>522.84712982964004</v>
      </c>
      <c r="Q40" s="682">
        <v>531.27</v>
      </c>
      <c r="R40" s="674"/>
    </row>
    <row r="41" spans="12:18" ht="13.6" customHeight="1">
      <c r="L41" s="632" t="s">
        <v>673</v>
      </c>
      <c r="M41" s="638">
        <v>490</v>
      </c>
      <c r="N41" s="636">
        <f>+M41*(1+$M$32)</f>
        <v>510.041</v>
      </c>
      <c r="O41" s="636">
        <f>+N41*(1+$N$32)</f>
        <v>526.26030379999997</v>
      </c>
      <c r="P41" s="683">
        <f>+O41*(1+$O$32)</f>
        <v>546.25819534439995</v>
      </c>
      <c r="Q41" s="682">
        <f t="shared" si="0"/>
        <v>555.05295228944476</v>
      </c>
    </row>
    <row r="42" spans="12:18" ht="13.6" customHeight="1">
      <c r="L42" s="632" t="s">
        <v>337</v>
      </c>
      <c r="M42" s="638"/>
      <c r="N42" s="636">
        <v>478.42</v>
      </c>
      <c r="O42" s="636">
        <v>493.63</v>
      </c>
      <c r="P42" s="683">
        <v>512.39</v>
      </c>
      <c r="Q42" s="682">
        <f t="shared" si="0"/>
        <v>520.63947899999994</v>
      </c>
    </row>
    <row r="43" spans="12:18" ht="13.6" customHeight="1">
      <c r="L43" s="633" t="s">
        <v>678</v>
      </c>
      <c r="M43" s="638"/>
      <c r="N43" s="636">
        <v>622.20000000000005</v>
      </c>
      <c r="O43" s="636">
        <v>641.99</v>
      </c>
      <c r="P43" s="683">
        <v>666.38</v>
      </c>
      <c r="Q43" s="682">
        <f t="shared" si="0"/>
        <v>677.10871799999995</v>
      </c>
    </row>
    <row r="44" spans="12:18">
      <c r="O44" s="636"/>
    </row>
    <row r="45" spans="12:18">
      <c r="L45" s="680" t="s">
        <v>712</v>
      </c>
      <c r="M45" s="680"/>
      <c r="N45" s="680"/>
      <c r="O45" s="680"/>
      <c r="P45" s="681"/>
    </row>
    <row r="46" spans="12:18">
      <c r="P46" s="622"/>
    </row>
    <row r="47" spans="12:18" ht="13.6">
      <c r="L47" s="628" t="s">
        <v>684</v>
      </c>
      <c r="M47" s="629"/>
      <c r="N47" s="629"/>
      <c r="O47" s="629"/>
      <c r="P47" s="630"/>
      <c r="Q47" s="662" t="s">
        <v>697</v>
      </c>
    </row>
    <row r="48" spans="12:18">
      <c r="P48" s="622"/>
    </row>
    <row r="49" spans="12:17" ht="13.6">
      <c r="L49" s="641" t="s">
        <v>677</v>
      </c>
      <c r="M49" s="752" t="s">
        <v>674</v>
      </c>
      <c r="N49" s="750"/>
      <c r="O49" s="750"/>
      <c r="P49" s="750"/>
    </row>
    <row r="50" spans="12:17" ht="13.6">
      <c r="L50" s="640" t="s">
        <v>676</v>
      </c>
      <c r="M50" s="634">
        <v>2017</v>
      </c>
      <c r="N50" s="634">
        <v>2018</v>
      </c>
      <c r="O50" s="634">
        <v>2019</v>
      </c>
      <c r="P50" s="634">
        <v>2020</v>
      </c>
      <c r="Q50" s="637">
        <v>2021</v>
      </c>
    </row>
    <row r="51" spans="12:17">
      <c r="L51" s="632" t="s">
        <v>671</v>
      </c>
      <c r="M51" s="635">
        <v>965.24</v>
      </c>
      <c r="N51" s="636">
        <f>+M51*(1+$M$32)</f>
        <v>1004.718316</v>
      </c>
      <c r="O51" s="636">
        <f>+N51*(1+$N$32)</f>
        <v>1036.6683584488001</v>
      </c>
      <c r="P51" s="636">
        <f>+O51*(1+$O$32)</f>
        <v>1076.0617560698545</v>
      </c>
      <c r="Q51" s="682">
        <v>1093.3800000000001</v>
      </c>
    </row>
    <row r="52" spans="12:17">
      <c r="L52" s="633" t="s">
        <v>672</v>
      </c>
      <c r="M52" s="635">
        <v>1021.31</v>
      </c>
      <c r="N52" s="655">
        <f>+M52*(1+$M$32)</f>
        <v>1063.0815789999999</v>
      </c>
      <c r="O52" s="636">
        <f>+N52*(1+$N$32)</f>
        <v>1096.8875732121999</v>
      </c>
      <c r="P52" s="636">
        <f>+O52*(1+$O$32)</f>
        <v>1138.5693009942636</v>
      </c>
      <c r="Q52" s="682">
        <f>+P52*(1+$P$32)</f>
        <v>1156.9002667402713</v>
      </c>
    </row>
    <row r="53" spans="12:17">
      <c r="L53" s="633" t="s">
        <v>18</v>
      </c>
      <c r="M53" s="635">
        <v>639.51</v>
      </c>
      <c r="N53" s="636">
        <f>+M53*(1+$M$32)</f>
        <v>665.66595899999993</v>
      </c>
      <c r="O53" s="636">
        <f>+N53*(1+$N$32)+0.006</f>
        <v>686.84013649619999</v>
      </c>
      <c r="P53" s="636">
        <f>+O53*(1+$O$32)</f>
        <v>712.94006168305566</v>
      </c>
      <c r="Q53" s="682">
        <f>+P53*(1+$P$32)</f>
        <v>724.41839667615284</v>
      </c>
    </row>
    <row r="55" spans="12:17">
      <c r="L55" s="680" t="s">
        <v>712</v>
      </c>
      <c r="M55" s="680"/>
      <c r="N55" s="680"/>
      <c r="O55" s="680"/>
      <c r="P55" s="681"/>
    </row>
    <row r="56" spans="12:17">
      <c r="L56" s="622"/>
    </row>
    <row r="58" spans="12:17" ht="13.6">
      <c r="L58" s="628" t="s">
        <v>683</v>
      </c>
      <c r="M58" s="629"/>
      <c r="N58" s="629"/>
      <c r="O58" s="629"/>
      <c r="P58" s="629"/>
      <c r="Q58" s="662" t="s">
        <v>710</v>
      </c>
    </row>
    <row r="59" spans="12:17" ht="13.6">
      <c r="L59" s="627"/>
    </row>
    <row r="60" spans="12:17" ht="13.6">
      <c r="M60" s="748" t="s">
        <v>674</v>
      </c>
      <c r="N60" s="748"/>
      <c r="O60" s="748"/>
      <c r="P60" s="749"/>
    </row>
    <row r="61" spans="12:17" ht="13.6">
      <c r="N61" s="642"/>
      <c r="O61" s="643"/>
      <c r="P61" s="639"/>
    </row>
    <row r="62" spans="12:17" ht="13.6">
      <c r="L62" s="631" t="s">
        <v>676</v>
      </c>
      <c r="M62" s="653">
        <v>2017</v>
      </c>
      <c r="N62" s="654">
        <v>2018</v>
      </c>
      <c r="O62" s="654">
        <v>2019</v>
      </c>
      <c r="P62" s="654">
        <v>2020</v>
      </c>
      <c r="Q62" s="637">
        <v>2021</v>
      </c>
    </row>
    <row r="63" spans="12:17">
      <c r="L63" s="632" t="s">
        <v>680</v>
      </c>
      <c r="M63" s="646">
        <v>29</v>
      </c>
      <c r="N63" s="647">
        <v>30</v>
      </c>
      <c r="O63" s="648">
        <v>32</v>
      </c>
      <c r="P63" s="648">
        <v>33</v>
      </c>
      <c r="Q63" s="648">
        <v>34</v>
      </c>
    </row>
    <row r="64" spans="12:17">
      <c r="L64" s="632" t="s">
        <v>681</v>
      </c>
      <c r="M64" s="646">
        <v>95</v>
      </c>
      <c r="N64" s="647">
        <v>100</v>
      </c>
      <c r="O64" s="648">
        <v>104</v>
      </c>
      <c r="P64" s="648">
        <v>109</v>
      </c>
      <c r="Q64" s="648">
        <v>112</v>
      </c>
    </row>
    <row r="65" spans="12:17">
      <c r="L65" s="632" t="s">
        <v>671</v>
      </c>
      <c r="M65" s="649">
        <v>135</v>
      </c>
      <c r="N65" s="650">
        <v>142</v>
      </c>
      <c r="O65" s="651">
        <v>148</v>
      </c>
      <c r="P65" s="652">
        <v>155</v>
      </c>
      <c r="Q65" s="652">
        <v>159</v>
      </c>
    </row>
    <row r="66" spans="12:17">
      <c r="L66" s="632" t="s">
        <v>679</v>
      </c>
      <c r="M66" s="646">
        <v>148</v>
      </c>
      <c r="N66" s="647">
        <v>156</v>
      </c>
      <c r="O66" s="648">
        <v>162</v>
      </c>
      <c r="P66" s="648">
        <v>170</v>
      </c>
      <c r="Q66" s="648">
        <v>174</v>
      </c>
    </row>
    <row r="67" spans="12:17">
      <c r="L67" s="632" t="s">
        <v>18</v>
      </c>
      <c r="M67" s="649">
        <v>152</v>
      </c>
      <c r="N67" s="650">
        <v>160</v>
      </c>
      <c r="O67" s="651">
        <v>166</v>
      </c>
      <c r="P67" s="652">
        <v>174</v>
      </c>
      <c r="Q67" s="652">
        <v>179</v>
      </c>
    </row>
    <row r="68" spans="12:17">
      <c r="L68" s="632" t="s">
        <v>321</v>
      </c>
      <c r="M68" s="646">
        <v>177</v>
      </c>
      <c r="N68" s="647">
        <v>186</v>
      </c>
      <c r="O68" s="648">
        <v>194</v>
      </c>
      <c r="P68" s="648">
        <v>203</v>
      </c>
      <c r="Q68" s="648">
        <v>208</v>
      </c>
    </row>
    <row r="69" spans="12:17">
      <c r="L69" s="644" t="s">
        <v>688</v>
      </c>
      <c r="M69" s="645">
        <v>15000</v>
      </c>
      <c r="N69" s="645">
        <v>15764</v>
      </c>
      <c r="O69" s="645">
        <v>16422</v>
      </c>
      <c r="P69" s="645">
        <v>17211</v>
      </c>
      <c r="Q69" s="645">
        <v>17660</v>
      </c>
    </row>
    <row r="70" spans="12:17">
      <c r="N70" s="656"/>
      <c r="O70" s="656"/>
      <c r="P70" s="656"/>
    </row>
    <row r="71" spans="12:17">
      <c r="P71" s="622"/>
    </row>
    <row r="72" spans="12:17">
      <c r="L72" s="622" t="s">
        <v>685</v>
      </c>
    </row>
    <row r="73" spans="12:17">
      <c r="L73" s="623" t="s">
        <v>689</v>
      </c>
    </row>
    <row r="74" spans="12:17">
      <c r="L74" s="622" t="s">
        <v>687</v>
      </c>
    </row>
    <row r="75" spans="12:17">
      <c r="L75" s="622" t="s">
        <v>686</v>
      </c>
    </row>
    <row r="79" spans="12:17" ht="13.6">
      <c r="L79" s="628" t="s">
        <v>699</v>
      </c>
      <c r="M79" s="629"/>
      <c r="N79" s="629"/>
      <c r="O79" s="629"/>
      <c r="P79" s="629"/>
    </row>
    <row r="81" spans="12:12">
      <c r="L81" s="622" t="s">
        <v>700</v>
      </c>
    </row>
    <row r="98" spans="12:18" ht="13.6">
      <c r="L98" s="628" t="s">
        <v>702</v>
      </c>
      <c r="M98" s="629"/>
      <c r="N98" s="629"/>
      <c r="O98" s="629"/>
      <c r="P98" s="629"/>
    </row>
    <row r="100" spans="12:18">
      <c r="L100" s="622" t="s">
        <v>703</v>
      </c>
    </row>
    <row r="103" spans="12:18" ht="13.6">
      <c r="L103" s="631" t="s">
        <v>676</v>
      </c>
      <c r="M103" s="653">
        <v>2014</v>
      </c>
      <c r="N103" s="654">
        <v>2017</v>
      </c>
      <c r="O103" s="654">
        <v>2018</v>
      </c>
      <c r="P103" s="654">
        <v>2019</v>
      </c>
      <c r="Q103" s="634">
        <v>2020</v>
      </c>
      <c r="R103" s="634">
        <v>2020</v>
      </c>
    </row>
    <row r="104" spans="12:18">
      <c r="L104" s="632" t="s">
        <v>704</v>
      </c>
      <c r="M104" s="669">
        <v>6.82</v>
      </c>
      <c r="N104" s="647"/>
      <c r="O104" s="647"/>
      <c r="P104" s="648"/>
      <c r="Q104" s="648"/>
      <c r="R104" s="672"/>
    </row>
    <row r="105" spans="12:18">
      <c r="L105" s="632" t="s">
        <v>705</v>
      </c>
      <c r="M105" s="669">
        <v>3.7</v>
      </c>
      <c r="N105" s="670"/>
      <c r="O105" s="670"/>
      <c r="P105" s="671"/>
      <c r="Q105" s="671"/>
      <c r="R105" s="673"/>
    </row>
    <row r="106" spans="12:18">
      <c r="L106" s="632" t="s">
        <v>706</v>
      </c>
      <c r="M106" s="670"/>
      <c r="N106" s="670">
        <v>7.45</v>
      </c>
      <c r="O106" s="670">
        <f>7.45*(1+3%)</f>
        <v>7.6735000000000007</v>
      </c>
      <c r="P106" s="670">
        <f>+O106*(1+3%)</f>
        <v>7.9037050000000013</v>
      </c>
      <c r="Q106" s="675">
        <f>+P106*(1+3%)</f>
        <v>8.1408161500000009</v>
      </c>
      <c r="R106" s="663">
        <f>+ROUND(Q106,2)*(1+3%)</f>
        <v>8.3842000000000017</v>
      </c>
    </row>
    <row r="107" spans="12:18">
      <c r="L107" s="632"/>
      <c r="M107" s="669"/>
      <c r="N107" s="670"/>
      <c r="O107" s="670"/>
      <c r="P107" s="670"/>
      <c r="Q107" s="671"/>
      <c r="R107" s="673"/>
    </row>
    <row r="108" spans="12:18">
      <c r="Q108" s="674">
        <f>8.1408*1.03</f>
        <v>8.3850240000000014</v>
      </c>
    </row>
    <row r="109" spans="12:18">
      <c r="N109" s="674"/>
    </row>
    <row r="112" spans="12:18" ht="13.6">
      <c r="L112" s="627" t="s">
        <v>716</v>
      </c>
    </row>
    <row r="113" spans="12:12">
      <c r="L113" s="699" t="s">
        <v>715</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BS15" sqref="BS15"/>
    </sheetView>
  </sheetViews>
  <sheetFormatPr baseColWidth="10" defaultColWidth="10.875" defaultRowHeight="12.9"/>
  <cols>
    <col min="1" max="1" width="6.25" style="189" customWidth="1"/>
    <col min="2" max="2" width="37.75" style="189" customWidth="1"/>
    <col min="3" max="3" width="9" style="189" hidden="1" customWidth="1"/>
    <col min="4" max="4" width="7.375" style="189" hidden="1" customWidth="1"/>
    <col min="5" max="5" width="11.75" style="189" hidden="1" customWidth="1"/>
    <col min="6" max="7" width="8.75" style="189" hidden="1" customWidth="1"/>
    <col min="8" max="8" width="9.875" style="189" hidden="1" customWidth="1"/>
    <col min="9" max="9" width="11.25" style="189" hidden="1" customWidth="1"/>
    <col min="10" max="10" width="9" style="189" hidden="1" customWidth="1"/>
    <col min="11" max="11" width="9.25" style="189" hidden="1" customWidth="1"/>
    <col min="12" max="12" width="12.375" style="189" hidden="1" customWidth="1"/>
    <col min="13" max="14" width="11.375" style="189" hidden="1" customWidth="1"/>
    <col min="15" max="15" width="15.375" style="189" hidden="1" customWidth="1"/>
    <col min="16" max="17" width="11.375" style="189" hidden="1" customWidth="1"/>
    <col min="18" max="28" width="11.375" style="188" hidden="1" customWidth="1"/>
    <col min="29" max="30" width="10.875" style="188" hidden="1" customWidth="1"/>
    <col min="31" max="32" width="10.875" style="189" hidden="1" customWidth="1"/>
    <col min="33" max="35" width="10.875" style="189" customWidth="1"/>
    <col min="36" max="38" width="10.875" style="189"/>
    <col min="39" max="39" width="36.125" style="189" bestFit="1" customWidth="1"/>
    <col min="40" max="42" width="10.875" style="189"/>
    <col min="43" max="43" width="36.125" style="189" bestFit="1" customWidth="1"/>
    <col min="44" max="16384" width="10.875" style="189"/>
  </cols>
  <sheetData>
    <row r="1" spans="1:61" ht="16.3" thickBot="1">
      <c r="A1" s="185"/>
      <c r="B1" s="186"/>
      <c r="C1" s="186"/>
      <c r="D1" s="186"/>
      <c r="E1" s="186"/>
      <c r="F1" s="186"/>
      <c r="G1" s="186"/>
      <c r="H1" s="186"/>
      <c r="I1" s="187"/>
      <c r="J1" s="187"/>
      <c r="K1" s="188"/>
      <c r="L1" s="188"/>
      <c r="M1" s="188"/>
      <c r="N1" s="188"/>
      <c r="O1" s="188"/>
      <c r="P1" s="188"/>
      <c r="Q1" s="188"/>
      <c r="AA1" s="785" t="s">
        <v>68</v>
      </c>
      <c r="AB1" s="785"/>
      <c r="AC1" s="785"/>
      <c r="AD1" s="785" t="s">
        <v>69</v>
      </c>
      <c r="AE1" s="785"/>
      <c r="AF1" s="785"/>
      <c r="AG1" s="785" t="s">
        <v>167</v>
      </c>
      <c r="AH1" s="785"/>
      <c r="AI1" s="785"/>
      <c r="AJ1" s="785" t="s">
        <v>193</v>
      </c>
      <c r="AK1" s="785"/>
      <c r="AL1" s="785"/>
      <c r="AM1" s="186"/>
      <c r="AN1" s="787" t="s">
        <v>272</v>
      </c>
      <c r="AO1" s="787"/>
      <c r="AP1" s="787"/>
      <c r="AQ1" s="186"/>
      <c r="AR1" s="766" t="s">
        <v>291</v>
      </c>
      <c r="AS1" s="767"/>
      <c r="AT1" s="768"/>
      <c r="AU1" s="766" t="s">
        <v>293</v>
      </c>
      <c r="AV1" s="767"/>
      <c r="AW1" s="768"/>
      <c r="AX1" s="766" t="s">
        <v>307</v>
      </c>
      <c r="AY1" s="767"/>
      <c r="AZ1" s="768"/>
      <c r="BA1" s="766" t="s">
        <v>323</v>
      </c>
      <c r="BB1" s="767"/>
      <c r="BC1" s="768"/>
      <c r="BD1" s="766" t="s">
        <v>564</v>
      </c>
      <c r="BE1" s="767"/>
      <c r="BF1" s="768"/>
      <c r="BG1" s="766" t="s">
        <v>571</v>
      </c>
      <c r="BH1" s="767"/>
      <c r="BI1" s="768"/>
    </row>
    <row r="2" spans="1:61" ht="14.95" customHeight="1">
      <c r="A2" s="780" t="s">
        <v>70</v>
      </c>
      <c r="B2" s="781"/>
      <c r="C2" s="190"/>
      <c r="D2" s="190"/>
      <c r="E2" s="190"/>
      <c r="F2" s="190"/>
      <c r="G2" s="190"/>
      <c r="H2" s="190"/>
      <c r="I2" s="190"/>
      <c r="J2" s="190"/>
      <c r="K2" s="190"/>
      <c r="L2" s="190"/>
      <c r="M2" s="190"/>
      <c r="N2" s="190"/>
      <c r="O2" s="190"/>
      <c r="P2" s="190"/>
      <c r="Q2" s="190"/>
      <c r="R2" s="191"/>
      <c r="S2" s="191"/>
      <c r="T2" s="191"/>
      <c r="U2" s="192"/>
      <c r="V2" s="193" t="s">
        <v>71</v>
      </c>
      <c r="W2" s="194">
        <v>0.04</v>
      </c>
      <c r="X2" s="192"/>
      <c r="Y2" s="195" t="s">
        <v>72</v>
      </c>
      <c r="Z2" s="194">
        <v>0.04</v>
      </c>
      <c r="AA2" s="192" t="s">
        <v>73</v>
      </c>
      <c r="AB2" s="195"/>
      <c r="AC2" s="194">
        <v>0.05</v>
      </c>
      <c r="AD2" s="192" t="s">
        <v>73</v>
      </c>
      <c r="AE2" s="195"/>
      <c r="AF2" s="194">
        <v>0.03</v>
      </c>
      <c r="AG2" s="192" t="s">
        <v>73</v>
      </c>
      <c r="AH2" s="195"/>
      <c r="AI2" s="194">
        <v>0.03</v>
      </c>
      <c r="AJ2" s="192" t="s">
        <v>73</v>
      </c>
      <c r="AK2" s="195"/>
      <c r="AL2" s="194">
        <v>0.03</v>
      </c>
      <c r="AM2" s="374"/>
      <c r="AN2" s="788" t="s">
        <v>73</v>
      </c>
      <c r="AO2" s="789"/>
      <c r="AP2" s="792">
        <v>0.03</v>
      </c>
      <c r="AQ2" s="412"/>
      <c r="AR2" s="769" t="s">
        <v>73</v>
      </c>
      <c r="AS2" s="770"/>
      <c r="AT2" s="773">
        <v>0.03</v>
      </c>
      <c r="AU2" s="769" t="s">
        <v>73</v>
      </c>
      <c r="AV2" s="770"/>
      <c r="AW2" s="773">
        <v>0.03</v>
      </c>
      <c r="AX2" s="769" t="s">
        <v>73</v>
      </c>
      <c r="AY2" s="770"/>
      <c r="AZ2" s="773">
        <v>0.03</v>
      </c>
      <c r="BA2" s="769" t="s">
        <v>73</v>
      </c>
      <c r="BB2" s="770"/>
      <c r="BC2" s="773">
        <v>0.03</v>
      </c>
      <c r="BD2" s="769" t="s">
        <v>73</v>
      </c>
      <c r="BE2" s="770"/>
      <c r="BF2" s="773">
        <v>0.03</v>
      </c>
      <c r="BG2" s="769" t="s">
        <v>73</v>
      </c>
      <c r="BH2" s="770"/>
      <c r="BI2" s="773">
        <v>0.03</v>
      </c>
    </row>
    <row r="3" spans="1:61" ht="55.55" customHeight="1" thickBot="1">
      <c r="A3" s="782"/>
      <c r="B3" s="783"/>
      <c r="C3" s="777" t="s">
        <v>74</v>
      </c>
      <c r="D3" s="778"/>
      <c r="E3" s="779"/>
      <c r="F3" s="777" t="s">
        <v>75</v>
      </c>
      <c r="G3" s="778"/>
      <c r="H3" s="779"/>
      <c r="I3" s="777" t="s">
        <v>76</v>
      </c>
      <c r="J3" s="778"/>
      <c r="K3" s="779"/>
      <c r="L3" s="777" t="s">
        <v>77</v>
      </c>
      <c r="M3" s="778"/>
      <c r="N3" s="779"/>
      <c r="O3" s="777" t="s">
        <v>78</v>
      </c>
      <c r="P3" s="778"/>
      <c r="Q3" s="779"/>
      <c r="R3" s="777" t="s">
        <v>79</v>
      </c>
      <c r="S3" s="778"/>
      <c r="T3" s="779"/>
      <c r="U3" s="777" t="s">
        <v>80</v>
      </c>
      <c r="V3" s="778"/>
      <c r="W3" s="779"/>
      <c r="X3" s="777" t="s">
        <v>81</v>
      </c>
      <c r="Y3" s="778"/>
      <c r="Z3" s="779"/>
      <c r="AA3" s="777"/>
      <c r="AB3" s="778"/>
      <c r="AC3" s="779"/>
      <c r="AD3" s="777"/>
      <c r="AE3" s="778"/>
      <c r="AF3" s="779"/>
      <c r="AG3" s="777"/>
      <c r="AH3" s="778"/>
      <c r="AI3" s="779"/>
      <c r="AJ3" s="777"/>
      <c r="AK3" s="778"/>
      <c r="AL3" s="779"/>
      <c r="AM3" s="375"/>
      <c r="AN3" s="790"/>
      <c r="AO3" s="791"/>
      <c r="AP3" s="793"/>
      <c r="AQ3" s="413"/>
      <c r="AR3" s="771"/>
      <c r="AS3" s="772"/>
      <c r="AT3" s="774"/>
      <c r="AU3" s="771"/>
      <c r="AV3" s="772"/>
      <c r="AW3" s="774"/>
      <c r="AX3" s="771"/>
      <c r="AY3" s="772"/>
      <c r="AZ3" s="774"/>
      <c r="BA3" s="771"/>
      <c r="BB3" s="772"/>
      <c r="BC3" s="774"/>
      <c r="BD3" s="771"/>
      <c r="BE3" s="772"/>
      <c r="BF3" s="774"/>
      <c r="BG3" s="771"/>
      <c r="BH3" s="772"/>
      <c r="BI3" s="774"/>
    </row>
    <row r="4" spans="1:61" ht="46.9" thickBot="1">
      <c r="A4" s="196"/>
      <c r="B4" s="197"/>
      <c r="C4" s="198" t="s">
        <v>82</v>
      </c>
      <c r="D4" s="198" t="s">
        <v>83</v>
      </c>
      <c r="E4" s="198" t="s">
        <v>84</v>
      </c>
      <c r="F4" s="199" t="s">
        <v>85</v>
      </c>
      <c r="G4" s="199" t="s">
        <v>83</v>
      </c>
      <c r="H4" s="199" t="s">
        <v>84</v>
      </c>
      <c r="I4" s="199" t="s">
        <v>86</v>
      </c>
      <c r="J4" s="199" t="s">
        <v>83</v>
      </c>
      <c r="K4" s="199" t="s">
        <v>84</v>
      </c>
      <c r="L4" s="199" t="s">
        <v>87</v>
      </c>
      <c r="M4" s="199" t="s">
        <v>83</v>
      </c>
      <c r="N4" s="199" t="s">
        <v>84</v>
      </c>
      <c r="O4" s="199" t="s">
        <v>87</v>
      </c>
      <c r="P4" s="199" t="s">
        <v>83</v>
      </c>
      <c r="Q4" s="199" t="s">
        <v>84</v>
      </c>
      <c r="R4" s="199" t="s">
        <v>87</v>
      </c>
      <c r="S4" s="199" t="s">
        <v>83</v>
      </c>
      <c r="T4" s="199" t="s">
        <v>84</v>
      </c>
      <c r="U4" s="199" t="s">
        <v>88</v>
      </c>
      <c r="V4" s="199" t="s">
        <v>83</v>
      </c>
      <c r="W4" s="199" t="s">
        <v>84</v>
      </c>
      <c r="X4" s="199" t="s">
        <v>88</v>
      </c>
      <c r="Y4" s="199" t="s">
        <v>83</v>
      </c>
      <c r="Z4" s="199" t="s">
        <v>84</v>
      </c>
      <c r="AA4" s="199" t="s">
        <v>88</v>
      </c>
      <c r="AB4" s="199" t="s">
        <v>83</v>
      </c>
      <c r="AC4" s="199" t="s">
        <v>84</v>
      </c>
      <c r="AD4" s="199" t="s">
        <v>89</v>
      </c>
      <c r="AE4" s="200" t="s">
        <v>83</v>
      </c>
      <c r="AF4" s="199" t="s">
        <v>84</v>
      </c>
      <c r="AG4" s="199" t="s">
        <v>194</v>
      </c>
      <c r="AH4" s="200" t="s">
        <v>83</v>
      </c>
      <c r="AI4" s="199" t="s">
        <v>84</v>
      </c>
      <c r="AJ4" s="199" t="s">
        <v>207</v>
      </c>
      <c r="AK4" s="200" t="s">
        <v>83</v>
      </c>
      <c r="AL4" s="199" t="s">
        <v>84</v>
      </c>
      <c r="AM4" s="376"/>
      <c r="AN4" s="377" t="s">
        <v>273</v>
      </c>
      <c r="AO4" s="377" t="s">
        <v>83</v>
      </c>
      <c r="AP4" s="377" t="s">
        <v>84</v>
      </c>
      <c r="AQ4" s="414"/>
      <c r="AR4" s="415" t="s">
        <v>273</v>
      </c>
      <c r="AS4" s="415" t="s">
        <v>83</v>
      </c>
      <c r="AT4" s="415" t="s">
        <v>84</v>
      </c>
      <c r="AU4" s="415" t="s">
        <v>273</v>
      </c>
      <c r="AV4" s="415" t="s">
        <v>83</v>
      </c>
      <c r="AW4" s="415" t="s">
        <v>84</v>
      </c>
      <c r="AX4" s="415" t="s">
        <v>273</v>
      </c>
      <c r="AY4" s="415" t="s">
        <v>83</v>
      </c>
      <c r="AZ4" s="415" t="s">
        <v>84</v>
      </c>
      <c r="BA4" s="415" t="s">
        <v>273</v>
      </c>
      <c r="BB4" s="415" t="s">
        <v>83</v>
      </c>
      <c r="BC4" s="415" t="s">
        <v>84</v>
      </c>
      <c r="BD4" s="415" t="s">
        <v>273</v>
      </c>
      <c r="BE4" s="415" t="s">
        <v>83</v>
      </c>
      <c r="BF4" s="415" t="s">
        <v>84</v>
      </c>
      <c r="BG4" s="415" t="s">
        <v>273</v>
      </c>
      <c r="BH4" s="415" t="s">
        <v>83</v>
      </c>
      <c r="BI4" s="415" t="s">
        <v>84</v>
      </c>
    </row>
    <row r="5" spans="1:61" ht="15.65">
      <c r="A5" s="201"/>
      <c r="B5" s="147" t="s">
        <v>90</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90</v>
      </c>
      <c r="AN5" s="152"/>
      <c r="AO5" s="156"/>
      <c r="AP5" s="153"/>
      <c r="AQ5" s="147" t="s">
        <v>90</v>
      </c>
      <c r="AR5" s="152"/>
      <c r="AS5" s="156"/>
      <c r="AT5" s="153"/>
      <c r="AU5" s="152"/>
      <c r="AV5" s="156"/>
      <c r="AW5" s="153"/>
      <c r="AX5" s="152"/>
      <c r="AY5" s="156"/>
      <c r="AZ5" s="153"/>
      <c r="BA5" s="152"/>
      <c r="BB5" s="156"/>
      <c r="BC5" s="153"/>
      <c r="BD5" s="152"/>
      <c r="BE5" s="156"/>
      <c r="BF5" s="153"/>
      <c r="BG5" s="152"/>
      <c r="BH5" s="156"/>
      <c r="BI5" s="153"/>
    </row>
    <row r="6" spans="1:61" ht="14.3" thickBot="1">
      <c r="A6" s="157">
        <v>420</v>
      </c>
      <c r="B6" s="148" t="s">
        <v>91</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91</v>
      </c>
      <c r="AN6" s="159"/>
      <c r="AO6" s="163"/>
      <c r="AP6" s="160"/>
      <c r="AQ6" s="148" t="s">
        <v>91</v>
      </c>
      <c r="AR6" s="159"/>
      <c r="AS6" s="163"/>
      <c r="AT6" s="160"/>
      <c r="AU6" s="159"/>
      <c r="AV6" s="163"/>
      <c r="AW6" s="160"/>
      <c r="AX6" s="159"/>
      <c r="AY6" s="163"/>
      <c r="AZ6" s="160"/>
      <c r="BA6" s="159"/>
      <c r="BB6" s="163"/>
      <c r="BC6" s="160"/>
      <c r="BD6" s="159"/>
      <c r="BE6" s="163"/>
      <c r="BF6" s="160"/>
      <c r="BG6" s="159"/>
      <c r="BH6" s="163"/>
      <c r="BI6" s="160"/>
    </row>
    <row r="7" spans="1:61" ht="13.6">
      <c r="A7" s="157"/>
      <c r="B7" s="202" t="s">
        <v>92</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92</v>
      </c>
      <c r="AN7" s="378">
        <v>69.694128060000011</v>
      </c>
      <c r="AO7" s="379">
        <v>69.694128060000011</v>
      </c>
      <c r="AP7" s="380">
        <v>2927.1533785200004</v>
      </c>
      <c r="AQ7" s="360" t="s">
        <v>92</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3.6">
      <c r="A8" s="157"/>
      <c r="B8" s="203" t="s">
        <v>93</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93</v>
      </c>
      <c r="AN8" s="381">
        <v>69.694128060000011</v>
      </c>
      <c r="AO8" s="382">
        <v>69.694128060000011</v>
      </c>
      <c r="AP8" s="383">
        <v>2927.1533785200004</v>
      </c>
      <c r="AQ8" s="361" t="s">
        <v>93</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4.3" thickBot="1">
      <c r="A9" s="204">
        <v>422</v>
      </c>
      <c r="B9" s="205" t="s">
        <v>94</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94</v>
      </c>
      <c r="AN9" s="384">
        <v>102.10441088000003</v>
      </c>
      <c r="AO9" s="385">
        <v>102.10441088000003</v>
      </c>
      <c r="AP9" s="386">
        <v>4288.3852569600012</v>
      </c>
      <c r="AQ9" s="362" t="s">
        <v>94</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65">
      <c r="A10" s="211"/>
      <c r="B10" s="212" t="s">
        <v>95</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95</v>
      </c>
      <c r="AN10" s="381">
        <v>62.143384490000003</v>
      </c>
      <c r="AO10" s="382">
        <v>62.143384490000003</v>
      </c>
      <c r="AP10" s="383">
        <v>2610.0221485800002</v>
      </c>
      <c r="AQ10" s="363" t="s">
        <v>95</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6.3" thickBot="1">
      <c r="A11" s="213"/>
      <c r="B11" s="205" t="s">
        <v>96</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96</v>
      </c>
      <c r="AN11" s="384">
        <v>62.143384490000003</v>
      </c>
      <c r="AO11" s="385">
        <v>62.143384490000003</v>
      </c>
      <c r="AP11" s="386">
        <v>2610.0221485800002</v>
      </c>
      <c r="AQ11" s="362" t="s">
        <v>96</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3.6">
      <c r="A12" s="157">
        <v>210</v>
      </c>
      <c r="B12" s="148" t="s">
        <v>97</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97</v>
      </c>
      <c r="AN12" s="381">
        <v>81.211470640000002</v>
      </c>
      <c r="AO12" s="382">
        <v>81.211470640000002</v>
      </c>
      <c r="AP12" s="383">
        <v>3410.8817668800002</v>
      </c>
      <c r="AQ12" s="363" t="s">
        <v>97</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3.6">
      <c r="A13" s="157">
        <v>212</v>
      </c>
      <c r="B13" s="212" t="s">
        <v>98</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98</v>
      </c>
      <c r="AN13" s="381">
        <v>139.10414710000001</v>
      </c>
      <c r="AO13" s="382">
        <v>139.10414710000001</v>
      </c>
      <c r="AP13" s="383">
        <v>5842.3741782000006</v>
      </c>
      <c r="AQ13" s="363" t="s">
        <v>98</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4.3" thickBot="1">
      <c r="A14" s="215">
        <v>214</v>
      </c>
      <c r="B14" s="216" t="s">
        <v>99</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99</v>
      </c>
      <c r="AN14" s="381">
        <v>103.59051960000001</v>
      </c>
      <c r="AO14" s="382">
        <v>103.59051960000001</v>
      </c>
      <c r="AP14" s="383">
        <v>4350.8018232000004</v>
      </c>
      <c r="AQ14" s="363" t="s">
        <v>99</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4.3" thickBot="1">
      <c r="A15" s="157">
        <v>210</v>
      </c>
      <c r="B15" s="148" t="s">
        <v>97</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269</v>
      </c>
      <c r="AN15" s="384">
        <v>0.45629000000000003</v>
      </c>
      <c r="AO15" s="385">
        <v>104.04680960000002</v>
      </c>
      <c r="AP15" s="386">
        <v>4369.9660032000002</v>
      </c>
      <c r="AQ15" s="364" t="s">
        <v>269</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3.6">
      <c r="A16" s="157">
        <v>260</v>
      </c>
      <c r="B16" s="148" t="s">
        <v>100</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97</v>
      </c>
      <c r="AN16" s="381">
        <v>81.211470640000002</v>
      </c>
      <c r="AO16" s="382">
        <v>81.211470640000002</v>
      </c>
      <c r="AP16" s="383">
        <v>3410.8817668800002</v>
      </c>
      <c r="AQ16" s="363" t="s">
        <v>97</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4.3" thickBot="1">
      <c r="A17" s="204">
        <v>224</v>
      </c>
      <c r="B17" s="221" t="s">
        <v>101</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100</v>
      </c>
      <c r="AN17" s="381">
        <v>157.31990619000001</v>
      </c>
      <c r="AO17" s="382">
        <v>157.31990619000001</v>
      </c>
      <c r="AP17" s="383">
        <v>6607.4360599800002</v>
      </c>
      <c r="AQ17" s="363" t="s">
        <v>100</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4.3" thickBot="1">
      <c r="A18" s="157">
        <v>210</v>
      </c>
      <c r="B18" s="148" t="s">
        <v>97</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101</v>
      </c>
      <c r="AN18" s="384">
        <v>190.86662508999999</v>
      </c>
      <c r="AO18" s="385">
        <v>348.18653128000005</v>
      </c>
      <c r="AP18" s="386">
        <v>14623.83431376</v>
      </c>
      <c r="AQ18" s="365" t="s">
        <v>101</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3.6">
      <c r="A19" s="157">
        <v>260</v>
      </c>
      <c r="B19" s="148" t="s">
        <v>100</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97</v>
      </c>
      <c r="AN19" s="381">
        <v>81.211470640000002</v>
      </c>
      <c r="AO19" s="382">
        <v>81.211470640000002</v>
      </c>
      <c r="AP19" s="383">
        <v>3410.8817668800002</v>
      </c>
      <c r="AQ19" s="363" t="s">
        <v>97</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3.6">
      <c r="A20" s="164">
        <v>231</v>
      </c>
      <c r="B20" s="149" t="s">
        <v>102</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100</v>
      </c>
      <c r="AN20" s="381">
        <v>157.31990619000001</v>
      </c>
      <c r="AO20" s="382">
        <v>157.31990619000001</v>
      </c>
      <c r="AP20" s="383">
        <v>6607.4360599800002</v>
      </c>
      <c r="AQ20" s="363" t="s">
        <v>100</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3.6">
      <c r="A21" s="157">
        <v>221</v>
      </c>
      <c r="B21" s="148" t="s">
        <v>103</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102</v>
      </c>
      <c r="AN21" s="381">
        <v>32.672537300000002</v>
      </c>
      <c r="AO21" s="382">
        <v>189.99244349</v>
      </c>
      <c r="AP21" s="383">
        <v>7979.6826265800009</v>
      </c>
      <c r="AQ21" s="363" t="s">
        <v>102</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3.6">
      <c r="A22" s="157">
        <v>225</v>
      </c>
      <c r="B22" s="212" t="s">
        <v>104</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103</v>
      </c>
      <c r="AN22" s="381">
        <v>59.172112590000012</v>
      </c>
      <c r="AO22" s="382">
        <v>216.49232777999998</v>
      </c>
      <c r="AP22" s="383">
        <v>9092.6777667599981</v>
      </c>
      <c r="AQ22" s="363" t="s">
        <v>103</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3.6">
      <c r="A23" s="157">
        <v>228</v>
      </c>
      <c r="B23" s="148" t="s">
        <v>105</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104</v>
      </c>
      <c r="AN23" s="381">
        <v>109.49124540000001</v>
      </c>
      <c r="AO23" s="382">
        <v>325.98357318000001</v>
      </c>
      <c r="AP23" s="383">
        <v>13691.31007356</v>
      </c>
      <c r="AQ23" s="363" t="s">
        <v>104</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4.3" thickBot="1">
      <c r="A24" s="204">
        <v>227</v>
      </c>
      <c r="B24" s="221" t="s">
        <v>106</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105</v>
      </c>
      <c r="AN24" s="381">
        <v>22.213258100000004</v>
      </c>
      <c r="AO24" s="382">
        <v>348.18653128000005</v>
      </c>
      <c r="AP24" s="383">
        <v>14623.83431376</v>
      </c>
      <c r="AQ24" s="363" t="s">
        <v>105</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4.3" thickBot="1">
      <c r="A25" s="157">
        <v>210</v>
      </c>
      <c r="B25" s="148" t="s">
        <v>97</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106</v>
      </c>
      <c r="AN25" s="384">
        <v>0</v>
      </c>
      <c r="AO25" s="385">
        <v>0</v>
      </c>
      <c r="AP25" s="386">
        <v>0</v>
      </c>
      <c r="AQ25" s="365" t="s">
        <v>106</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3.6">
      <c r="A26" s="157">
        <v>260</v>
      </c>
      <c r="B26" s="148" t="s">
        <v>100</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97</v>
      </c>
      <c r="AN26" s="381">
        <v>81.211470640000002</v>
      </c>
      <c r="AO26" s="382">
        <v>81.211470640000002</v>
      </c>
      <c r="AP26" s="383">
        <v>3410.8817668800002</v>
      </c>
      <c r="AQ26" s="363" t="s">
        <v>97</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3.6">
      <c r="A27" s="164">
        <v>231</v>
      </c>
      <c r="B27" s="149" t="s">
        <v>102</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100</v>
      </c>
      <c r="AN27" s="381">
        <v>157.31990619000001</v>
      </c>
      <c r="AO27" s="382">
        <v>157.31990619000001</v>
      </c>
      <c r="AP27" s="383">
        <v>6607.4360599800002</v>
      </c>
      <c r="AQ27" s="363" t="s">
        <v>100</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3.6">
      <c r="A28" s="157">
        <v>221</v>
      </c>
      <c r="B28" s="148" t="s">
        <v>103</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102</v>
      </c>
      <c r="AN28" s="381">
        <v>32.672537300000002</v>
      </c>
      <c r="AO28" s="382">
        <v>189.99244349</v>
      </c>
      <c r="AP28" s="383">
        <v>7979.6826265800009</v>
      </c>
      <c r="AQ28" s="363" t="s">
        <v>102</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3.6">
      <c r="A29" s="164">
        <v>243</v>
      </c>
      <c r="B29" s="149" t="s">
        <v>107</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103</v>
      </c>
      <c r="AN29" s="381">
        <v>59.172112590000012</v>
      </c>
      <c r="AO29" s="382">
        <v>216.49232777999998</v>
      </c>
      <c r="AP29" s="383">
        <v>9092.6777667599981</v>
      </c>
      <c r="AQ29" s="363" t="s">
        <v>103</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3.6">
      <c r="A30" s="157">
        <v>258</v>
      </c>
      <c r="B30" s="148" t="s">
        <v>108</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107</v>
      </c>
      <c r="AN30" s="381">
        <v>24.093684810000006</v>
      </c>
      <c r="AO30" s="382">
        <v>240.58570359000001</v>
      </c>
      <c r="AP30" s="383">
        <v>10104.59955078</v>
      </c>
      <c r="AQ30" s="363" t="s">
        <v>107</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4.3" thickBot="1">
      <c r="A31" s="204">
        <v>259</v>
      </c>
      <c r="B31" s="224" t="s">
        <v>109</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108</v>
      </c>
      <c r="AN31" s="381">
        <v>81.396915960000015</v>
      </c>
      <c r="AO31" s="382">
        <v>297.88893474000008</v>
      </c>
      <c r="AP31" s="383">
        <v>12511.335259080002</v>
      </c>
      <c r="AQ31" s="363" t="s">
        <v>108</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4.3" thickBot="1">
      <c r="A32" s="150">
        <v>210</v>
      </c>
      <c r="B32" s="147" t="s">
        <v>97</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109</v>
      </c>
      <c r="AN32" s="384">
        <v>76.938908069999997</v>
      </c>
      <c r="AO32" s="385">
        <v>374.82784280999999</v>
      </c>
      <c r="AP32" s="386">
        <v>15742.76939802</v>
      </c>
      <c r="AQ32" s="362" t="s">
        <v>109</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3.6">
      <c r="A33" s="157">
        <v>260</v>
      </c>
      <c r="B33" s="148" t="s">
        <v>100</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97</v>
      </c>
      <c r="AN33" s="378">
        <v>81.211470640000002</v>
      </c>
      <c r="AO33" s="379">
        <v>81.211470640000002</v>
      </c>
      <c r="AP33" s="380">
        <v>3410.8817668800002</v>
      </c>
      <c r="AQ33" s="366" t="s">
        <v>97</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3.6">
      <c r="A34" s="164">
        <v>263</v>
      </c>
      <c r="B34" s="149" t="s">
        <v>110</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100</v>
      </c>
      <c r="AN34" s="381">
        <v>157.31990619000001</v>
      </c>
      <c r="AO34" s="382">
        <v>157.31990619000001</v>
      </c>
      <c r="AP34" s="383">
        <v>6607.4360599800002</v>
      </c>
      <c r="AQ34" s="363" t="s">
        <v>100</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3.6">
      <c r="A35" s="157">
        <v>264</v>
      </c>
      <c r="B35" s="212" t="s">
        <v>111</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110</v>
      </c>
      <c r="AN35" s="381">
        <v>16.500177700000002</v>
      </c>
      <c r="AO35" s="382">
        <v>315.85273934999998</v>
      </c>
      <c r="AP35" s="383">
        <v>13265.8150527</v>
      </c>
      <c r="AQ35" s="363" t="s">
        <v>110</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3.6">
      <c r="A36" s="157">
        <v>264</v>
      </c>
      <c r="B36" s="212" t="s">
        <v>112</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111</v>
      </c>
      <c r="AN36" s="381">
        <v>142.03265546</v>
      </c>
      <c r="AO36" s="382">
        <v>299.35256164999998</v>
      </c>
      <c r="AP36" s="383">
        <v>12572.8075893</v>
      </c>
      <c r="AQ36" s="363" t="s">
        <v>111</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3.6">
      <c r="A37" s="157">
        <v>271</v>
      </c>
      <c r="B37" s="148" t="s">
        <v>113</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112</v>
      </c>
      <c r="AN37" s="381">
        <v>118.91149768000001</v>
      </c>
      <c r="AO37" s="382">
        <v>276.23171287000002</v>
      </c>
      <c r="AP37" s="383">
        <v>11601.731940540001</v>
      </c>
      <c r="AQ37" s="363" t="s">
        <v>112</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3.6">
      <c r="A38" s="164">
        <v>273</v>
      </c>
      <c r="B38" s="149" t="s">
        <v>114</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113</v>
      </c>
      <c r="AN38" s="381">
        <v>41.435889570000022</v>
      </c>
      <c r="AO38" s="382">
        <v>340.78845122000001</v>
      </c>
      <c r="AP38" s="383">
        <v>14313.114951240001</v>
      </c>
      <c r="AQ38" s="363" t="s">
        <v>113</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3.6">
      <c r="A39" s="164">
        <v>280</v>
      </c>
      <c r="B39" s="149" t="s">
        <v>115</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114</v>
      </c>
      <c r="AN39" s="381">
        <v>27.012211440000002</v>
      </c>
      <c r="AO39" s="382">
        <v>367.80098093000004</v>
      </c>
      <c r="AP39" s="383">
        <v>15447.641199060003</v>
      </c>
      <c r="AQ39" s="363" t="s">
        <v>114</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3.6">
      <c r="A40" s="157">
        <v>278</v>
      </c>
      <c r="B40" s="148" t="s">
        <v>116</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115</v>
      </c>
      <c r="AN40" s="381">
        <v>13.123651270000002</v>
      </c>
      <c r="AO40" s="382">
        <v>380.92463220000008</v>
      </c>
      <c r="AP40" s="383">
        <v>15998.834552400003</v>
      </c>
      <c r="AQ40" s="363" t="s">
        <v>115</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3.6">
      <c r="A41" s="157">
        <v>276</v>
      </c>
      <c r="B41" s="148" t="s">
        <v>117</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116</v>
      </c>
      <c r="AN41" s="381">
        <v>41.425280569999998</v>
      </c>
      <c r="AO41" s="395">
        <v>382.21405005999998</v>
      </c>
      <c r="AP41" s="383">
        <v>16052.99010252</v>
      </c>
      <c r="AQ41" s="363" t="s">
        <v>116</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3.6">
      <c r="A42" s="157">
        <v>279</v>
      </c>
      <c r="B42" s="148" t="s">
        <v>118</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117</v>
      </c>
      <c r="AN42" s="381">
        <v>0</v>
      </c>
      <c r="AO42" s="382">
        <v>0</v>
      </c>
      <c r="AP42" s="383">
        <v>0</v>
      </c>
      <c r="AQ42" s="363" t="s">
        <v>117</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3.6">
      <c r="A43" s="157"/>
      <c r="B43" s="148" t="s">
        <v>119</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118</v>
      </c>
      <c r="AN43" s="381">
        <v>54.766849970000003</v>
      </c>
      <c r="AO43" s="382">
        <v>436.98090003000004</v>
      </c>
      <c r="AP43" s="383">
        <v>18353.197801260001</v>
      </c>
      <c r="AQ43" s="363" t="s">
        <v>118</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4.3" thickBot="1">
      <c r="A44" s="204">
        <v>277</v>
      </c>
      <c r="B44" s="224" t="s">
        <v>120</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119</v>
      </c>
      <c r="AN44" s="381">
        <v>54.766849970000003</v>
      </c>
      <c r="AO44" s="382">
        <v>491.74900454000004</v>
      </c>
      <c r="AP44" s="383">
        <v>20653.458190680001</v>
      </c>
      <c r="AQ44" s="363" t="s">
        <v>119</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4.3" thickBot="1">
      <c r="A45" s="157">
        <v>210</v>
      </c>
      <c r="B45" s="148" t="s">
        <v>97</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120</v>
      </c>
      <c r="AN45" s="384">
        <v>436.99245457000001</v>
      </c>
      <c r="AO45" s="385">
        <v>436.99245457000001</v>
      </c>
      <c r="AP45" s="386">
        <v>18353.683091940002</v>
      </c>
      <c r="AQ45" s="362" t="s">
        <v>120</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3.6">
      <c r="A46" s="157">
        <v>260</v>
      </c>
      <c r="B46" s="148" t="s">
        <v>100</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97</v>
      </c>
      <c r="AN46" s="378">
        <v>81.211470640000002</v>
      </c>
      <c r="AO46" s="379">
        <v>81.211470640000002</v>
      </c>
      <c r="AP46" s="380">
        <v>3410.8817668800002</v>
      </c>
      <c r="AQ46" s="363" t="s">
        <v>97</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3.6">
      <c r="A47" s="164">
        <v>231</v>
      </c>
      <c r="B47" s="149" t="s">
        <v>102</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100</v>
      </c>
      <c r="AN47" s="381">
        <v>157.31990619000001</v>
      </c>
      <c r="AO47" s="382">
        <v>157.31990619000001</v>
      </c>
      <c r="AP47" s="383">
        <v>6607.4360599800002</v>
      </c>
      <c r="AQ47" s="363" t="s">
        <v>100</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3.6">
      <c r="A48" s="157">
        <v>221</v>
      </c>
      <c r="B48" s="148" t="s">
        <v>103</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102</v>
      </c>
      <c r="AN48" s="381">
        <v>32.672537300000002</v>
      </c>
      <c r="AO48" s="382">
        <v>189.99244349</v>
      </c>
      <c r="AP48" s="383">
        <v>7979.6826265800009</v>
      </c>
      <c r="AQ48" s="363" t="s">
        <v>102</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3.6">
      <c r="A49" s="157">
        <v>245</v>
      </c>
      <c r="B49" s="148" t="s">
        <v>121</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103</v>
      </c>
      <c r="AN49" s="381">
        <v>59.172112590000012</v>
      </c>
      <c r="AO49" s="382">
        <v>216.49232777999998</v>
      </c>
      <c r="AP49" s="383">
        <v>9092.6777667599981</v>
      </c>
      <c r="AQ49" s="363" t="s">
        <v>103</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4.3" thickBot="1">
      <c r="A50" s="204">
        <v>251</v>
      </c>
      <c r="B50" s="224" t="s">
        <v>122</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121</v>
      </c>
      <c r="AN50" s="381">
        <v>124.29612344000002</v>
      </c>
      <c r="AO50" s="382">
        <v>340.78845122000001</v>
      </c>
      <c r="AP50" s="383">
        <v>14313.114951239999</v>
      </c>
      <c r="AQ50" s="363" t="s">
        <v>121</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4.3" thickBot="1">
      <c r="A51" s="150">
        <v>210</v>
      </c>
      <c r="B51" s="147" t="s">
        <v>97</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122</v>
      </c>
      <c r="AN51" s="384">
        <v>124.29612344000002</v>
      </c>
      <c r="AO51" s="387">
        <v>340.78845122000001</v>
      </c>
      <c r="AP51" s="386">
        <v>14313.114951239999</v>
      </c>
      <c r="AQ51" s="362" t="s">
        <v>122</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3.6">
      <c r="A52" s="157">
        <v>260</v>
      </c>
      <c r="B52" s="148" t="s">
        <v>100</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97</v>
      </c>
      <c r="AN52" s="378">
        <v>81.211470640000002</v>
      </c>
      <c r="AO52" s="379">
        <v>81.211470640000002</v>
      </c>
      <c r="AP52" s="380">
        <v>3410.8817668800002</v>
      </c>
      <c r="AQ52" s="366" t="s">
        <v>97</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3.6">
      <c r="A53" s="164">
        <v>231</v>
      </c>
      <c r="B53" s="149" t="s">
        <v>102</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100</v>
      </c>
      <c r="AN53" s="381">
        <v>157.31990619000001</v>
      </c>
      <c r="AO53" s="382">
        <v>157.31990619000001</v>
      </c>
      <c r="AP53" s="383">
        <v>6607.4360599800002</v>
      </c>
      <c r="AQ53" s="363" t="s">
        <v>100</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3.6">
      <c r="A54" s="157">
        <v>221</v>
      </c>
      <c r="B54" s="148" t="s">
        <v>103</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102</v>
      </c>
      <c r="AN54" s="381">
        <v>32.672537300000002</v>
      </c>
      <c r="AO54" s="382">
        <v>189.99244349</v>
      </c>
      <c r="AP54" s="383">
        <v>7979.6826265800009</v>
      </c>
      <c r="AQ54" s="363" t="s">
        <v>102</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4.3" thickBot="1">
      <c r="A55" s="157"/>
      <c r="B55" s="148" t="s">
        <v>180</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103</v>
      </c>
      <c r="AN55" s="381">
        <v>59.172112590000012</v>
      </c>
      <c r="AO55" s="382">
        <v>216.49232777999998</v>
      </c>
      <c r="AP55" s="383">
        <v>9092.6777667599981</v>
      </c>
      <c r="AQ55" s="363" t="s">
        <v>103</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4.3" thickBot="1">
      <c r="A56" s="150">
        <v>210</v>
      </c>
      <c r="B56" s="147" t="s">
        <v>97</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180</v>
      </c>
      <c r="AN56" s="384">
        <v>53.436400000000006</v>
      </c>
      <c r="AO56" s="385">
        <v>269.92872777999997</v>
      </c>
      <c r="AP56" s="386">
        <v>11337.006566759999</v>
      </c>
      <c r="AQ56" s="363" t="s">
        <v>180</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3.6">
      <c r="A57" s="157">
        <v>260</v>
      </c>
      <c r="B57" s="148" t="s">
        <v>100</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97</v>
      </c>
      <c r="AN57" s="378">
        <v>81.211470640000002</v>
      </c>
      <c r="AO57" s="379">
        <v>81.211470640000002</v>
      </c>
      <c r="AP57" s="380">
        <v>3410.8817668800002</v>
      </c>
      <c r="AQ57" s="366" t="s">
        <v>97</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3.6">
      <c r="A58" s="225"/>
      <c r="B58" s="212" t="s">
        <v>195</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100</v>
      </c>
      <c r="AN58" s="381">
        <v>157.31990619000001</v>
      </c>
      <c r="AO58" s="382">
        <v>157.31990619000001</v>
      </c>
      <c r="AP58" s="383">
        <v>6607.4360599800002</v>
      </c>
      <c r="AQ58" s="363" t="s">
        <v>100</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4.3" thickBot="1">
      <c r="A59" s="204"/>
      <c r="B59" s="224" t="s">
        <v>196</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195</v>
      </c>
      <c r="AN59" s="381">
        <v>127.0617238937528</v>
      </c>
      <c r="AO59" s="382">
        <v>284.38163008375284</v>
      </c>
      <c r="AP59" s="383">
        <v>11944.028463517619</v>
      </c>
      <c r="AQ59" s="363" t="s">
        <v>195</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4.3" thickBot="1">
      <c r="A60" s="168" t="s">
        <v>123</v>
      </c>
      <c r="B60" s="168"/>
      <c r="C60" s="168"/>
      <c r="D60" s="168"/>
      <c r="E60" s="168"/>
      <c r="F60" s="232"/>
      <c r="G60" s="232"/>
      <c r="H60" s="232"/>
      <c r="I60" s="232"/>
      <c r="J60" s="232"/>
      <c r="K60" s="232"/>
      <c r="L60" s="232"/>
      <c r="M60" s="232"/>
      <c r="N60" s="232"/>
      <c r="O60" s="232"/>
      <c r="P60" s="232"/>
      <c r="Q60" s="232"/>
      <c r="AE60" s="188"/>
      <c r="AF60" s="188"/>
      <c r="AM60" s="362" t="s">
        <v>196</v>
      </c>
      <c r="AN60" s="384">
        <v>218.163476</v>
      </c>
      <c r="AO60" s="385">
        <v>502.54510608375284</v>
      </c>
      <c r="AP60" s="386">
        <v>21106.89445551762</v>
      </c>
      <c r="AQ60" s="362" t="s">
        <v>196</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4.3" thickBot="1">
      <c r="A61" s="169" t="s">
        <v>124</v>
      </c>
      <c r="B61" s="170"/>
      <c r="C61" s="169"/>
      <c r="D61" s="169"/>
      <c r="E61" s="169"/>
      <c r="F61" s="188"/>
      <c r="G61" s="188"/>
      <c r="H61" s="232"/>
      <c r="I61" s="188"/>
      <c r="J61" s="188"/>
      <c r="K61" s="188"/>
      <c r="L61" s="232"/>
      <c r="M61" s="232"/>
      <c r="N61" s="232"/>
      <c r="O61" s="232"/>
      <c r="P61" s="232"/>
      <c r="Q61" s="232"/>
      <c r="AE61" s="188"/>
      <c r="AF61" s="188"/>
      <c r="AG61" s="223"/>
      <c r="AM61" s="367" t="s">
        <v>270</v>
      </c>
      <c r="AN61" s="388">
        <v>43.568999999999996</v>
      </c>
      <c r="AO61" s="389">
        <v>43.568999999999996</v>
      </c>
      <c r="AP61" s="386">
        <v>1829.8979999999999</v>
      </c>
      <c r="AQ61" s="367" t="s">
        <v>270</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4.95" customHeight="1">
      <c r="A62" s="171" t="s">
        <v>125</v>
      </c>
      <c r="B62" s="171"/>
      <c r="C62" s="171"/>
      <c r="D62" s="171"/>
      <c r="E62" s="171"/>
      <c r="F62" s="188"/>
      <c r="G62" s="188"/>
      <c r="H62" s="232"/>
      <c r="I62" s="188"/>
      <c r="J62" s="188"/>
      <c r="K62" s="188"/>
      <c r="L62" s="188"/>
      <c r="M62" s="188"/>
      <c r="N62" s="188"/>
      <c r="O62" s="188"/>
      <c r="P62" s="188"/>
      <c r="Q62" s="188"/>
      <c r="AE62" s="188"/>
      <c r="AF62" s="188"/>
      <c r="AM62" s="168"/>
      <c r="AQ62" s="168"/>
    </row>
    <row r="63" spans="1:61" ht="13.6">
      <c r="A63" s="172" t="s">
        <v>126</v>
      </c>
      <c r="B63" s="172"/>
      <c r="C63" s="172"/>
      <c r="D63" s="172"/>
      <c r="E63" s="172"/>
      <c r="F63" s="233"/>
      <c r="G63" s="233"/>
      <c r="H63" s="233"/>
      <c r="I63" s="188"/>
      <c r="J63" s="188"/>
      <c r="K63" s="188"/>
      <c r="L63" s="188"/>
      <c r="M63" s="188"/>
      <c r="N63" s="188"/>
      <c r="O63" s="188"/>
      <c r="P63" s="188"/>
      <c r="Q63" s="188"/>
      <c r="AE63" s="188"/>
      <c r="AF63" s="188"/>
      <c r="AM63" s="170"/>
      <c r="AQ63" s="170"/>
    </row>
    <row r="64" spans="1:61" ht="13.6">
      <c r="A64" s="173" t="s">
        <v>181</v>
      </c>
      <c r="B64" s="173"/>
      <c r="C64" s="173"/>
      <c r="D64" s="173"/>
      <c r="E64" s="173"/>
      <c r="F64" s="233"/>
      <c r="G64" s="233"/>
      <c r="H64" s="233"/>
      <c r="I64" s="188"/>
      <c r="J64" s="188"/>
      <c r="K64" s="188"/>
      <c r="L64" s="188"/>
      <c r="M64" s="188"/>
      <c r="N64" s="188"/>
      <c r="O64" s="188"/>
      <c r="P64" s="188"/>
      <c r="Q64" s="188"/>
      <c r="AE64" s="188"/>
      <c r="AF64" s="188"/>
      <c r="AM64" s="171"/>
      <c r="AQ64" s="171"/>
    </row>
    <row r="65" spans="1:61" ht="14.3" thickBot="1">
      <c r="A65" s="234" t="s">
        <v>197</v>
      </c>
      <c r="B65" s="234"/>
      <c r="C65" s="234"/>
      <c r="D65" s="234"/>
      <c r="E65" s="234"/>
      <c r="F65" s="233"/>
      <c r="G65" s="233"/>
      <c r="H65" s="233"/>
      <c r="I65" s="188"/>
      <c r="J65" s="188"/>
      <c r="K65" s="188"/>
      <c r="L65" s="188"/>
      <c r="M65" s="188"/>
      <c r="N65" s="188"/>
      <c r="O65" s="188"/>
      <c r="P65" s="188"/>
      <c r="Q65" s="188"/>
      <c r="AE65" s="188"/>
      <c r="AF65" s="188"/>
      <c r="AM65" s="172"/>
      <c r="AQ65" s="172"/>
    </row>
    <row r="66" spans="1:61" ht="14.95" thickBot="1">
      <c r="A66" s="235">
        <v>279</v>
      </c>
      <c r="B66" s="236" t="s">
        <v>127</v>
      </c>
      <c r="C66" s="237"/>
      <c r="D66" s="237"/>
      <c r="E66" s="237"/>
      <c r="F66" s="237"/>
      <c r="G66" s="237"/>
      <c r="H66" s="237"/>
      <c r="I66" s="237"/>
      <c r="J66" s="237"/>
      <c r="K66" s="238">
        <v>6.4899999999999999E-2</v>
      </c>
      <c r="L66" s="188"/>
      <c r="M66" s="188"/>
      <c r="N66" s="238">
        <v>5.5E-2</v>
      </c>
      <c r="O66" s="188"/>
      <c r="P66" s="188"/>
      <c r="Q66" s="238">
        <v>4.8500000000000001E-2</v>
      </c>
      <c r="T66" s="238"/>
      <c r="V66" s="239" t="s">
        <v>128</v>
      </c>
      <c r="W66" s="238">
        <v>4.48E-2</v>
      </c>
      <c r="Y66" s="239" t="s">
        <v>129</v>
      </c>
      <c r="Z66" s="238">
        <v>5.6899999999999999E-2</v>
      </c>
      <c r="AB66" s="239"/>
      <c r="AC66" s="238">
        <v>7.6700000000000004E-2</v>
      </c>
      <c r="AE66" s="239"/>
      <c r="AF66" s="238">
        <v>0.02</v>
      </c>
      <c r="AG66" s="240" t="s">
        <v>168</v>
      </c>
      <c r="AI66" s="241">
        <v>3.1699999999999999E-2</v>
      </c>
      <c r="AJ66" s="240" t="s">
        <v>198</v>
      </c>
      <c r="AL66" s="241">
        <v>3.73E-2</v>
      </c>
      <c r="AM66" s="173"/>
      <c r="AQ66" s="173"/>
    </row>
    <row r="67" spans="1:61" ht="14.3" thickBot="1">
      <c r="A67" s="242"/>
      <c r="B67" s="243" t="s">
        <v>130</v>
      </c>
      <c r="C67" s="244" t="s">
        <v>131</v>
      </c>
      <c r="D67" s="245"/>
      <c r="E67" s="245"/>
      <c r="F67" s="246" t="s">
        <v>132</v>
      </c>
      <c r="G67" s="247"/>
      <c r="H67" s="247"/>
      <c r="I67" s="246" t="s">
        <v>133</v>
      </c>
      <c r="J67" s="247"/>
      <c r="K67" s="247"/>
      <c r="L67" s="246" t="s">
        <v>134</v>
      </c>
      <c r="M67" s="247"/>
      <c r="N67" s="247"/>
      <c r="O67" s="246" t="s">
        <v>135</v>
      </c>
      <c r="P67" s="247"/>
      <c r="Q67" s="247"/>
      <c r="R67" s="246" t="s">
        <v>135</v>
      </c>
      <c r="S67" s="247"/>
      <c r="T67" s="247"/>
      <c r="U67" s="246" t="s">
        <v>136</v>
      </c>
      <c r="V67" s="247"/>
      <c r="W67" s="247"/>
      <c r="X67" s="248" t="s">
        <v>137</v>
      </c>
      <c r="Y67" s="249"/>
      <c r="Z67" s="250"/>
      <c r="AA67" s="248" t="s">
        <v>138</v>
      </c>
      <c r="AB67" s="251"/>
      <c r="AC67" s="250"/>
      <c r="AD67" s="248" t="s">
        <v>139</v>
      </c>
      <c r="AE67" s="251"/>
      <c r="AF67" s="250"/>
      <c r="AG67" s="248" t="s">
        <v>169</v>
      </c>
      <c r="AH67" s="251"/>
      <c r="AI67" s="250"/>
      <c r="AJ67" s="248" t="s">
        <v>199</v>
      </c>
      <c r="AK67" s="251"/>
      <c r="AL67" s="250"/>
      <c r="AM67" s="234"/>
      <c r="AQ67" s="234"/>
    </row>
    <row r="68" spans="1:61" ht="13.6" thickBot="1">
      <c r="A68" s="252"/>
      <c r="B68" s="245" t="s">
        <v>140</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6" thickBot="1">
      <c r="A69" s="252"/>
      <c r="B69" s="245" t="s">
        <v>141</v>
      </c>
      <c r="C69" s="254"/>
      <c r="D69" s="237"/>
      <c r="E69" s="255"/>
      <c r="F69" s="246" t="s">
        <v>142</v>
      </c>
      <c r="G69" s="251"/>
      <c r="H69" s="256"/>
      <c r="I69" s="246" t="s">
        <v>133</v>
      </c>
      <c r="J69" s="257"/>
      <c r="K69" s="256"/>
      <c r="L69" s="246" t="s">
        <v>134</v>
      </c>
      <c r="M69" s="257"/>
      <c r="N69" s="256"/>
      <c r="O69" s="246" t="s">
        <v>134</v>
      </c>
      <c r="P69" s="257"/>
      <c r="Q69" s="256"/>
      <c r="R69" s="246" t="s">
        <v>135</v>
      </c>
      <c r="S69" s="257"/>
      <c r="T69" s="256"/>
      <c r="U69" s="246" t="s">
        <v>136</v>
      </c>
      <c r="V69" s="257"/>
      <c r="W69" s="256"/>
      <c r="X69" s="248" t="s">
        <v>137</v>
      </c>
      <c r="Y69" s="257"/>
      <c r="Z69" s="256"/>
      <c r="AA69" s="248" t="s">
        <v>138</v>
      </c>
      <c r="AB69" s="257"/>
      <c r="AC69" s="256"/>
      <c r="AD69" s="248" t="s">
        <v>139</v>
      </c>
      <c r="AE69" s="257"/>
      <c r="AF69" s="256"/>
      <c r="AG69" s="248" t="s">
        <v>169</v>
      </c>
      <c r="AH69" s="257"/>
      <c r="AI69" s="256"/>
      <c r="AJ69" s="248" t="s">
        <v>199</v>
      </c>
      <c r="AK69" s="257"/>
      <c r="AL69" s="256"/>
      <c r="AM69" s="368"/>
      <c r="AQ69" s="368"/>
    </row>
    <row r="70" spans="1:61" ht="13.6" thickBot="1">
      <c r="A70" s="245"/>
      <c r="B70" s="245" t="s">
        <v>143</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3.8" thickBot="1">
      <c r="A71" s="187"/>
      <c r="B71" s="245" t="s">
        <v>141</v>
      </c>
      <c r="C71" s="187"/>
      <c r="D71" s="187"/>
      <c r="E71" s="232"/>
      <c r="F71" s="187"/>
      <c r="G71" s="187"/>
      <c r="H71" s="232"/>
      <c r="I71" s="232"/>
      <c r="J71" s="232"/>
      <c r="K71" s="232"/>
      <c r="L71" s="188"/>
      <c r="M71" s="188"/>
      <c r="N71" s="259"/>
      <c r="O71" s="188"/>
      <c r="P71" s="188"/>
      <c r="Q71" s="259"/>
      <c r="T71" s="259"/>
      <c r="W71" s="259"/>
      <c r="Z71" s="259"/>
      <c r="AC71" s="259"/>
      <c r="AE71" s="188"/>
      <c r="AF71" s="259"/>
      <c r="AM71" s="369" t="s">
        <v>271</v>
      </c>
      <c r="AN71" s="390" t="s">
        <v>274</v>
      </c>
      <c r="AO71" s="391"/>
      <c r="AP71" s="392">
        <v>2.4400000000000002E-2</v>
      </c>
      <c r="AQ71" s="369" t="s">
        <v>271</v>
      </c>
      <c r="AR71" s="390" t="s">
        <v>294</v>
      </c>
      <c r="AS71" s="391"/>
      <c r="AT71" s="392">
        <v>1.9400000000000001E-2</v>
      </c>
      <c r="AU71" s="390" t="s">
        <v>295</v>
      </c>
      <c r="AV71" s="391"/>
      <c r="AW71" s="392">
        <v>3.6600000000000001E-2</v>
      </c>
      <c r="AX71" s="390" t="s">
        <v>308</v>
      </c>
      <c r="AY71" s="391"/>
      <c r="AZ71" s="392">
        <v>6.7699999999999996E-2</v>
      </c>
      <c r="BA71" s="390" t="s">
        <v>324</v>
      </c>
      <c r="BB71" s="391"/>
      <c r="BC71" s="392">
        <v>5.7500000000000002E-2</v>
      </c>
      <c r="BD71" s="390" t="s">
        <v>324</v>
      </c>
      <c r="BE71" s="391"/>
      <c r="BF71" s="392">
        <v>5.7500000000000002E-2</v>
      </c>
      <c r="BG71" s="390" t="s">
        <v>324</v>
      </c>
      <c r="BH71" s="391"/>
      <c r="BI71" s="392">
        <v>5.7500000000000002E-2</v>
      </c>
    </row>
    <row r="72" spans="1:61" ht="14.95" thickTop="1" thickBot="1">
      <c r="A72" s="260"/>
      <c r="B72" s="261" t="s">
        <v>144</v>
      </c>
      <c r="C72" s="262" t="s">
        <v>145</v>
      </c>
      <c r="D72" s="260"/>
      <c r="E72" s="263"/>
      <c r="F72" s="262" t="s">
        <v>142</v>
      </c>
      <c r="G72" s="264"/>
      <c r="H72" s="265"/>
      <c r="I72" s="266" t="s">
        <v>146</v>
      </c>
      <c r="J72" s="267"/>
      <c r="K72" s="267"/>
      <c r="L72" s="188"/>
      <c r="M72" s="188"/>
      <c r="N72" s="188"/>
      <c r="O72" s="188"/>
      <c r="P72" s="188"/>
      <c r="Q72" s="188"/>
      <c r="AD72" s="268"/>
      <c r="AE72" s="188"/>
      <c r="AF72" s="188"/>
      <c r="AM72" s="370" t="s">
        <v>130</v>
      </c>
      <c r="AN72" s="775" t="s">
        <v>275</v>
      </c>
      <c r="AO72" s="775"/>
      <c r="AP72" s="776"/>
      <c r="AQ72" s="370" t="s">
        <v>130</v>
      </c>
      <c r="AR72" s="775" t="s">
        <v>275</v>
      </c>
      <c r="AS72" s="775"/>
      <c r="AT72" s="776"/>
      <c r="AU72" s="775" t="s">
        <v>275</v>
      </c>
      <c r="AV72" s="775"/>
      <c r="AW72" s="776"/>
      <c r="AX72" s="775" t="s">
        <v>275</v>
      </c>
      <c r="AY72" s="775"/>
      <c r="AZ72" s="776"/>
      <c r="BA72" s="775" t="s">
        <v>275</v>
      </c>
      <c r="BB72" s="775"/>
      <c r="BC72" s="776"/>
      <c r="BD72" s="775" t="s">
        <v>275</v>
      </c>
      <c r="BE72" s="775"/>
      <c r="BF72" s="776"/>
      <c r="BG72" s="775" t="s">
        <v>275</v>
      </c>
      <c r="BH72" s="775"/>
      <c r="BI72" s="776"/>
    </row>
    <row r="73" spans="1:61" ht="14.3" thickTop="1" thickBot="1">
      <c r="A73" s="269"/>
      <c r="B73" s="260" t="s">
        <v>147</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140</v>
      </c>
      <c r="AN73" s="393">
        <v>513.24140203400077</v>
      </c>
      <c r="AO73" s="393">
        <v>513.24140203400077</v>
      </c>
      <c r="AP73" s="394">
        <v>21556.13888542803</v>
      </c>
      <c r="AQ73" s="371" t="s">
        <v>140</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4.3" thickTop="1" thickBot="1">
      <c r="A74" s="272"/>
      <c r="B74" s="273" t="s">
        <v>130</v>
      </c>
      <c r="C74" s="187"/>
      <c r="D74" s="187"/>
      <c r="E74" s="232"/>
      <c r="F74" s="232"/>
      <c r="G74" s="232"/>
      <c r="H74" s="232"/>
      <c r="I74" s="274" t="s">
        <v>148</v>
      </c>
      <c r="J74" s="275"/>
      <c r="K74" s="276"/>
      <c r="L74" s="274" t="s">
        <v>149</v>
      </c>
      <c r="M74" s="275"/>
      <c r="N74" s="276"/>
      <c r="O74" s="274" t="s">
        <v>149</v>
      </c>
      <c r="P74" s="275"/>
      <c r="Q74" s="276"/>
      <c r="R74" s="274" t="s">
        <v>135</v>
      </c>
      <c r="S74" s="275"/>
      <c r="T74" s="276"/>
      <c r="U74" s="274" t="s">
        <v>136</v>
      </c>
      <c r="V74" s="275"/>
      <c r="W74" s="276"/>
      <c r="X74" s="277" t="s">
        <v>137</v>
      </c>
      <c r="Y74" s="275"/>
      <c r="Z74" s="276"/>
      <c r="AA74" s="277" t="s">
        <v>138</v>
      </c>
      <c r="AB74" s="275"/>
      <c r="AC74" s="276"/>
      <c r="AD74" s="277" t="s">
        <v>139</v>
      </c>
      <c r="AE74" s="275"/>
      <c r="AF74" s="276"/>
      <c r="AG74" s="277" t="s">
        <v>169</v>
      </c>
      <c r="AH74" s="275"/>
      <c r="AI74" s="276"/>
      <c r="AJ74" s="277" t="s">
        <v>199</v>
      </c>
      <c r="AK74" s="275"/>
      <c r="AL74" s="276"/>
      <c r="AM74" s="371" t="s">
        <v>141</v>
      </c>
      <c r="AN74" s="762" t="s">
        <v>276</v>
      </c>
      <c r="AO74" s="762"/>
      <c r="AP74" s="763"/>
      <c r="AQ74" s="371" t="s">
        <v>141</v>
      </c>
      <c r="AR74" s="762"/>
      <c r="AS74" s="762"/>
      <c r="AT74" s="763"/>
      <c r="AU74" s="762"/>
      <c r="AV74" s="762"/>
      <c r="AW74" s="763"/>
      <c r="AX74" s="762"/>
      <c r="AY74" s="762"/>
      <c r="AZ74" s="763"/>
      <c r="BA74" s="762"/>
      <c r="BB74" s="762"/>
      <c r="BC74" s="763"/>
      <c r="BD74" s="762"/>
      <c r="BE74" s="762"/>
      <c r="BF74" s="763"/>
      <c r="BG74" s="762"/>
      <c r="BH74" s="762"/>
      <c r="BI74" s="763"/>
    </row>
    <row r="75" spans="1:61" ht="14.3" thickTop="1" thickBot="1">
      <c r="A75" s="278"/>
      <c r="B75" s="279" t="s">
        <v>141</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143</v>
      </c>
      <c r="AN75" s="393">
        <v>505.85237467218178</v>
      </c>
      <c r="AO75" s="393">
        <v>505.85237467218178</v>
      </c>
      <c r="AP75" s="394">
        <v>21245.799736231635</v>
      </c>
      <c r="AQ75" s="371" t="s">
        <v>143</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75" customHeight="1" thickTop="1">
      <c r="A76" s="284"/>
      <c r="B76" s="285" t="s">
        <v>150</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141</v>
      </c>
      <c r="AN76" s="753"/>
      <c r="AO76" s="754"/>
      <c r="AP76" s="755"/>
      <c r="AQ76" s="371" t="s">
        <v>141</v>
      </c>
      <c r="AR76" s="753"/>
      <c r="AS76" s="754"/>
      <c r="AT76" s="755"/>
      <c r="AU76" s="753"/>
      <c r="AV76" s="754"/>
      <c r="AW76" s="755"/>
      <c r="AX76" s="753"/>
      <c r="AY76" s="754"/>
      <c r="AZ76" s="755"/>
      <c r="BA76" s="753"/>
      <c r="BB76" s="754"/>
      <c r="BC76" s="755"/>
      <c r="BD76" s="753"/>
      <c r="BE76" s="754"/>
      <c r="BF76" s="755"/>
      <c r="BG76" s="753"/>
      <c r="BH76" s="754"/>
      <c r="BI76" s="755"/>
    </row>
    <row r="77" spans="1:61" ht="13.6">
      <c r="A77" s="287" t="s">
        <v>151</v>
      </c>
      <c r="B77" s="188"/>
      <c r="C77" s="188"/>
      <c r="D77" s="188"/>
      <c r="E77" s="188"/>
      <c r="F77" s="259"/>
      <c r="G77" s="188"/>
      <c r="H77" s="188"/>
      <c r="I77" s="188"/>
      <c r="J77" s="188"/>
      <c r="K77" s="188"/>
      <c r="L77" s="188"/>
      <c r="M77" s="188"/>
      <c r="N77" s="188"/>
      <c r="O77" s="188"/>
      <c r="P77" s="188"/>
      <c r="Q77" s="188"/>
      <c r="AM77" s="372" t="s">
        <v>144</v>
      </c>
      <c r="AN77" s="756"/>
      <c r="AO77" s="757"/>
      <c r="AP77" s="758"/>
      <c r="AQ77" s="372" t="s">
        <v>144</v>
      </c>
      <c r="AR77" s="756"/>
      <c r="AS77" s="757"/>
      <c r="AT77" s="758"/>
      <c r="AU77" s="756"/>
      <c r="AV77" s="757"/>
      <c r="AW77" s="758"/>
      <c r="AX77" s="756"/>
      <c r="AY77" s="757"/>
      <c r="AZ77" s="758"/>
      <c r="BA77" s="756"/>
      <c r="BB77" s="757"/>
      <c r="BC77" s="758"/>
      <c r="BD77" s="756"/>
      <c r="BE77" s="757"/>
      <c r="BF77" s="758"/>
      <c r="BG77" s="756"/>
      <c r="BH77" s="757"/>
      <c r="BI77" s="758"/>
    </row>
    <row r="78" spans="1:61">
      <c r="A78" s="287" t="s">
        <v>152</v>
      </c>
      <c r="B78" s="188"/>
      <c r="C78" s="188"/>
      <c r="D78" s="188"/>
      <c r="E78" s="188"/>
      <c r="F78" s="259"/>
      <c r="G78" s="188"/>
      <c r="H78" s="188"/>
      <c r="I78" s="188"/>
      <c r="J78" s="188"/>
      <c r="K78" s="188"/>
      <c r="L78" s="288"/>
      <c r="M78" s="188"/>
      <c r="N78" s="188"/>
      <c r="O78" s="289"/>
      <c r="P78" s="188"/>
      <c r="Q78" s="188"/>
      <c r="AC78" s="290"/>
      <c r="AM78" s="371" t="s">
        <v>147</v>
      </c>
      <c r="AN78" s="759"/>
      <c r="AO78" s="760"/>
      <c r="AP78" s="761"/>
      <c r="AQ78" s="371" t="s">
        <v>147</v>
      </c>
      <c r="AR78" s="759"/>
      <c r="AS78" s="760"/>
      <c r="AT78" s="761"/>
      <c r="AU78" s="759"/>
      <c r="AV78" s="760"/>
      <c r="AW78" s="761"/>
      <c r="AX78" s="759"/>
      <c r="AY78" s="760"/>
      <c r="AZ78" s="761"/>
      <c r="BA78" s="759"/>
      <c r="BB78" s="760"/>
      <c r="BC78" s="761"/>
      <c r="BD78" s="759"/>
      <c r="BE78" s="760"/>
      <c r="BF78" s="761"/>
      <c r="BG78" s="759"/>
      <c r="BH78" s="760"/>
      <c r="BI78" s="761"/>
    </row>
    <row r="79" spans="1:61" ht="13.6">
      <c r="A79" s="284"/>
      <c r="B79" s="188"/>
      <c r="C79" s="188"/>
      <c r="D79" s="188"/>
      <c r="E79" s="188"/>
      <c r="F79" s="188"/>
      <c r="G79" s="188"/>
      <c r="H79" s="188"/>
      <c r="I79" s="188"/>
      <c r="J79" s="188"/>
      <c r="K79" s="188"/>
      <c r="L79" s="188"/>
      <c r="M79" s="188"/>
      <c r="N79" s="188"/>
      <c r="O79" s="188"/>
      <c r="P79" s="188"/>
      <c r="Q79" s="188"/>
      <c r="AC79" s="268"/>
      <c r="AM79" s="371" t="s">
        <v>130</v>
      </c>
      <c r="AN79" s="762" t="s">
        <v>276</v>
      </c>
      <c r="AO79" s="762"/>
      <c r="AP79" s="763"/>
      <c r="AQ79" s="371" t="s">
        <v>130</v>
      </c>
      <c r="AR79" s="762"/>
      <c r="AS79" s="762"/>
      <c r="AT79" s="763"/>
      <c r="AU79" s="762"/>
      <c r="AV79" s="762"/>
      <c r="AW79" s="763"/>
      <c r="AX79" s="762"/>
      <c r="AY79" s="762"/>
      <c r="AZ79" s="763"/>
      <c r="BA79" s="762"/>
      <c r="BB79" s="762"/>
      <c r="BC79" s="763"/>
      <c r="BD79" s="762"/>
      <c r="BE79" s="762"/>
      <c r="BF79" s="763"/>
      <c r="BG79" s="762"/>
      <c r="BH79" s="762"/>
      <c r="BI79" s="763"/>
    </row>
    <row r="80" spans="1:61">
      <c r="A80" s="188"/>
      <c r="B80" s="188"/>
      <c r="C80" s="188"/>
      <c r="D80" s="188"/>
      <c r="E80" s="188"/>
      <c r="F80" s="188"/>
      <c r="G80" s="188"/>
      <c r="H80" s="188"/>
      <c r="I80" s="188"/>
      <c r="J80" s="188"/>
      <c r="K80" s="188"/>
      <c r="L80" s="188"/>
      <c r="M80" s="188"/>
      <c r="N80" s="188"/>
      <c r="O80" s="188"/>
      <c r="P80" s="188"/>
      <c r="Q80" s="188"/>
      <c r="AM80" s="371" t="s">
        <v>141</v>
      </c>
      <c r="AN80" s="393">
        <v>442.85011881106925</v>
      </c>
      <c r="AO80" s="393">
        <v>442.85011881106925</v>
      </c>
      <c r="AP80" s="394">
        <v>18599.704990064907</v>
      </c>
      <c r="AQ80" s="371" t="s">
        <v>141</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3" customHeight="1" thickBot="1">
      <c r="A81" s="188"/>
      <c r="B81" s="188"/>
      <c r="C81" s="188"/>
      <c r="D81" s="188"/>
      <c r="E81" s="188"/>
      <c r="F81" s="188"/>
      <c r="G81" s="188"/>
      <c r="H81" s="188"/>
      <c r="I81" s="188"/>
      <c r="J81" s="188"/>
      <c r="K81" s="188"/>
      <c r="L81" s="188"/>
      <c r="M81" s="188"/>
      <c r="N81" s="188"/>
      <c r="O81" s="188"/>
      <c r="P81" s="188"/>
      <c r="Q81" s="188"/>
      <c r="Z81" s="786" t="s">
        <v>153</v>
      </c>
      <c r="AA81" s="786"/>
      <c r="AD81" s="786" t="s">
        <v>154</v>
      </c>
      <c r="AE81" s="786"/>
      <c r="AG81" s="786" t="s">
        <v>200</v>
      </c>
      <c r="AH81" s="786"/>
      <c r="AJ81" s="786" t="s">
        <v>200</v>
      </c>
      <c r="AK81" s="786"/>
      <c r="AM81" s="373" t="s">
        <v>150</v>
      </c>
      <c r="AN81" s="397">
        <v>60.636068751069253</v>
      </c>
      <c r="AO81" s="764"/>
      <c r="AP81" s="765"/>
      <c r="AQ81" s="373" t="s">
        <v>150</v>
      </c>
      <c r="AR81" s="397">
        <f>AN81*(1+$AT$71)</f>
        <v>61.812408484839999</v>
      </c>
      <c r="AS81" s="764"/>
      <c r="AT81" s="765"/>
      <c r="AU81" s="397">
        <f>AR81*(1+$AW$71)</f>
        <v>64.074742635385135</v>
      </c>
      <c r="AV81" s="764"/>
      <c r="AW81" s="765"/>
      <c r="AX81" s="397">
        <f>AU81*(1+$AZ$71)</f>
        <v>68.412602711800716</v>
      </c>
      <c r="AY81" s="764"/>
      <c r="AZ81" s="765"/>
      <c r="BA81" s="397">
        <f>AX81*(1+$BC$71)</f>
        <v>72.346327367729259</v>
      </c>
      <c r="BB81" s="764"/>
      <c r="BC81" s="765"/>
      <c r="BD81" s="397">
        <f>BA81*(1+$BC$71)</f>
        <v>76.506241191373704</v>
      </c>
      <c r="BE81" s="764"/>
      <c r="BF81" s="765"/>
      <c r="BG81" s="397">
        <f>BD81*(1+$BC$71)</f>
        <v>80.905350059877705</v>
      </c>
      <c r="BH81" s="764"/>
      <c r="BI81" s="765"/>
    </row>
    <row r="82" spans="1:61">
      <c r="A82" s="188"/>
      <c r="B82" s="188"/>
      <c r="C82" s="188"/>
      <c r="D82" s="188"/>
      <c r="E82" s="188"/>
      <c r="F82" s="188"/>
      <c r="G82" s="188"/>
      <c r="H82" s="188"/>
      <c r="I82" s="188"/>
      <c r="J82" s="188"/>
      <c r="K82" s="188"/>
      <c r="L82" s="188"/>
      <c r="M82" s="188"/>
      <c r="N82" s="188"/>
      <c r="O82" s="188"/>
      <c r="P82" s="188"/>
      <c r="Q82" s="188"/>
      <c r="Z82" s="786"/>
      <c r="AA82" s="786"/>
      <c r="AD82" s="786"/>
      <c r="AE82" s="786"/>
      <c r="AG82" s="786"/>
      <c r="AH82" s="786"/>
      <c r="AJ82" s="786"/>
      <c r="AK82" s="786"/>
    </row>
    <row r="83" spans="1:61" ht="83.25" customHeight="1">
      <c r="A83" s="188"/>
      <c r="B83" s="188"/>
      <c r="C83" s="188"/>
      <c r="D83" s="188"/>
      <c r="E83" s="188"/>
      <c r="F83" s="188"/>
      <c r="G83" s="188"/>
      <c r="H83" s="188"/>
      <c r="I83" s="188"/>
      <c r="J83" s="188"/>
      <c r="K83" s="188"/>
      <c r="L83" s="188"/>
      <c r="M83" s="188"/>
      <c r="N83" s="188"/>
      <c r="O83" s="188"/>
      <c r="P83" s="188"/>
      <c r="Q83" s="188"/>
      <c r="Z83" s="784" t="s">
        <v>155</v>
      </c>
      <c r="AA83" s="784"/>
      <c r="AD83" s="784" t="s">
        <v>156</v>
      </c>
      <c r="AE83" s="784"/>
      <c r="AG83" s="291" t="s">
        <v>201</v>
      </c>
      <c r="AJ83" s="291" t="s">
        <v>201</v>
      </c>
    </row>
    <row r="84" spans="1:61">
      <c r="A84" s="188"/>
      <c r="B84" s="188"/>
      <c r="C84" s="188"/>
      <c r="D84" s="188"/>
      <c r="E84" s="188"/>
      <c r="F84" s="188"/>
      <c r="G84" s="188"/>
      <c r="H84" s="188"/>
      <c r="I84" s="188"/>
      <c r="J84" s="188"/>
      <c r="K84" s="188"/>
      <c r="L84" s="188"/>
      <c r="M84" s="188"/>
      <c r="N84" s="188"/>
      <c r="O84" s="188"/>
      <c r="P84" s="188"/>
      <c r="Q84" s="188"/>
      <c r="AD84" s="784"/>
      <c r="AE84" s="784"/>
    </row>
    <row r="85" spans="1:61">
      <c r="A85" s="188"/>
      <c r="B85" s="188"/>
      <c r="C85" s="188"/>
      <c r="D85" s="188"/>
      <c r="E85" s="188"/>
      <c r="F85" s="188"/>
      <c r="G85" s="188"/>
      <c r="H85" s="188"/>
      <c r="I85" s="188"/>
      <c r="J85" s="188"/>
      <c r="K85" s="188"/>
      <c r="L85" s="188"/>
      <c r="M85" s="188"/>
      <c r="N85" s="188"/>
      <c r="O85" s="188"/>
      <c r="P85" s="188"/>
      <c r="Q85" s="188"/>
      <c r="AD85" s="784"/>
      <c r="AE85" s="784"/>
    </row>
    <row r="86" spans="1:61">
      <c r="A86" s="188"/>
      <c r="B86" s="188"/>
      <c r="C86" s="188"/>
      <c r="D86" s="188"/>
      <c r="E86" s="188"/>
      <c r="F86" s="188"/>
      <c r="G86" s="188"/>
      <c r="H86" s="188"/>
      <c r="I86" s="188"/>
      <c r="J86" s="188"/>
      <c r="K86" s="188"/>
      <c r="L86" s="188"/>
      <c r="M86" s="188"/>
      <c r="N86" s="188"/>
      <c r="O86" s="188"/>
      <c r="P86" s="188"/>
      <c r="Q86" s="188"/>
      <c r="AD86" s="784"/>
      <c r="AE86" s="784"/>
    </row>
    <row r="87" spans="1:61">
      <c r="A87" s="188"/>
      <c r="B87" s="188"/>
      <c r="C87" s="188"/>
      <c r="D87" s="188"/>
      <c r="E87" s="188"/>
      <c r="F87" s="188"/>
      <c r="G87" s="188"/>
      <c r="H87" s="188"/>
      <c r="I87" s="188"/>
      <c r="J87" s="188"/>
      <c r="K87" s="188"/>
      <c r="L87" s="188"/>
      <c r="M87" s="188"/>
      <c r="N87" s="188"/>
      <c r="O87" s="188"/>
      <c r="P87" s="188"/>
      <c r="Q87" s="188"/>
      <c r="AD87" s="784"/>
      <c r="AE87" s="784"/>
    </row>
    <row r="88" spans="1:61">
      <c r="A88" s="188"/>
      <c r="B88" s="188"/>
      <c r="C88" s="188"/>
      <c r="D88" s="188"/>
      <c r="E88" s="188"/>
      <c r="F88" s="188"/>
      <c r="G88" s="188"/>
      <c r="H88" s="188"/>
      <c r="I88" s="188"/>
      <c r="J88" s="188"/>
      <c r="K88" s="188"/>
      <c r="L88" s="188"/>
      <c r="M88" s="188"/>
      <c r="N88" s="188"/>
      <c r="O88" s="188"/>
      <c r="P88" s="188"/>
      <c r="Q88" s="188"/>
      <c r="AD88" s="784"/>
      <c r="AE88" s="784"/>
    </row>
    <row r="89" spans="1:61">
      <c r="A89" s="188"/>
      <c r="B89" s="188"/>
      <c r="C89" s="188"/>
      <c r="D89" s="188"/>
      <c r="E89" s="188"/>
      <c r="F89" s="188"/>
      <c r="G89" s="188"/>
      <c r="H89" s="188"/>
      <c r="I89" s="188"/>
      <c r="J89" s="188"/>
      <c r="K89" s="188"/>
      <c r="L89" s="188"/>
      <c r="M89" s="188"/>
      <c r="N89" s="188"/>
      <c r="O89" s="188"/>
      <c r="P89" s="188"/>
      <c r="Q89" s="188"/>
      <c r="AD89" s="784"/>
      <c r="AE89" s="784"/>
    </row>
    <row r="90" spans="1:61">
      <c r="A90" s="188"/>
      <c r="B90" s="188"/>
      <c r="C90" s="188"/>
      <c r="D90" s="188"/>
      <c r="E90" s="188"/>
      <c r="F90" s="188"/>
      <c r="G90" s="188"/>
      <c r="H90" s="188"/>
      <c r="I90" s="188"/>
      <c r="J90" s="188"/>
      <c r="K90" s="188"/>
      <c r="L90" s="188"/>
      <c r="M90" s="188"/>
      <c r="N90" s="188"/>
      <c r="O90" s="188"/>
      <c r="P90" s="188"/>
      <c r="Q90" s="188"/>
      <c r="AD90" s="188" t="s">
        <v>157</v>
      </c>
      <c r="AG90" s="189" t="s">
        <v>202</v>
      </c>
      <c r="AJ90" s="189" t="s">
        <v>202</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3.6">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3.6">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3.6">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3.6">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3.6">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3.6">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3.6">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3.6">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3.6">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3.6">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3.6">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3.6">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3.6">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3.6">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3.6">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3.6">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3.6">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3.6">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3.6">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3.6">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3.6">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3.6">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3.6">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3.6">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3.6">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3.6">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3.6">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3.6">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3.6">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3.6">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3.6">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3.6">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3.6">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3.6">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3.6">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3.6">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3.6">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3.6">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3.6">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3.6">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3.6">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3.6">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3.6">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3.6">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3.6">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3.6">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3.6">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3.6">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3.6">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3.6">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3.6">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3.6">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3.6">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3.6">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3.6">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3.6">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3.6">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3.6">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3.6">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3.6">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3.6">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3.6">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3.6">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3.6">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3.6">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3.6">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3.6">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3.6">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3.6">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3.6">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3.6">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6"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showGridLines="0" zoomScale="90" zoomScaleNormal="90" workbookViewId="0">
      <selection activeCell="U16" sqref="U16"/>
    </sheetView>
  </sheetViews>
  <sheetFormatPr baseColWidth="10" defaultColWidth="11.375" defaultRowHeight="13.6" outlineLevelCol="1"/>
  <cols>
    <col min="1" max="1" width="59.875" style="11" customWidth="1"/>
    <col min="2" max="2" width="18.875" style="11" customWidth="1" outlineLevel="1"/>
    <col min="3" max="4" width="18.875" style="11" customWidth="1"/>
    <col min="5" max="5" width="21" style="11" customWidth="1" outlineLevel="1"/>
    <col min="6" max="6" width="22.875" style="301" customWidth="1" outlineLevel="1"/>
    <col min="7" max="7" width="23" style="1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14.3">
      <c r="A1" s="689" t="s">
        <v>724</v>
      </c>
      <c r="B1" s="1"/>
      <c r="C1" s="1">
        <v>7.2405999999999997</v>
      </c>
      <c r="D1" s="3"/>
      <c r="E1" s="4"/>
      <c r="F1" s="4"/>
      <c r="G1" s="2"/>
      <c r="H1" s="2"/>
    </row>
    <row r="2" spans="1:20" s="55" customFormat="1" ht="21.75" customHeight="1">
      <c r="A2" s="801" t="str">
        <f>CONCATENATE("ESTRUCTURAS DE PRECIOS DE COMBUSTIBLES LIQUIDOS VIGENTES A PARTIR DE ",$A$1)</f>
        <v>ESTRUCTURAS DE PRECIOS DE COMBUSTIBLES LIQUIDOS VIGENTES A PARTIR DE 01 DE JUNIO 2021</v>
      </c>
      <c r="B2" s="801"/>
      <c r="C2" s="801"/>
      <c r="D2" s="801"/>
      <c r="E2" s="801"/>
      <c r="F2" s="801"/>
      <c r="G2" s="801"/>
      <c r="H2" s="587"/>
      <c r="I2" s="588"/>
    </row>
    <row r="3" spans="1:20" s="55" customFormat="1" ht="21.75" customHeight="1">
      <c r="A3" s="314" t="s">
        <v>0</v>
      </c>
      <c r="B3" s="178"/>
      <c r="C3" s="178"/>
      <c r="D3" s="178"/>
      <c r="E3" s="178"/>
      <c r="F3" s="178"/>
      <c r="G3" s="178"/>
      <c r="H3" s="585"/>
      <c r="I3" s="315"/>
      <c r="K3" s="658"/>
      <c r="M3" s="715"/>
    </row>
    <row r="4" spans="1:20" s="49" customFormat="1" ht="23.95" customHeight="1">
      <c r="A4" s="806" t="s">
        <v>1</v>
      </c>
      <c r="B4" s="808" t="s">
        <v>25</v>
      </c>
      <c r="C4" s="810" t="s">
        <v>10</v>
      </c>
      <c r="D4" s="811"/>
      <c r="E4" s="808" t="s">
        <v>643</v>
      </c>
      <c r="F4" s="810" t="s">
        <v>642</v>
      </c>
      <c r="G4" s="812"/>
      <c r="H4" s="810" t="s">
        <v>642</v>
      </c>
      <c r="I4" s="812"/>
      <c r="K4" s="657"/>
      <c r="M4" s="714"/>
    </row>
    <row r="5" spans="1:20" s="49" customFormat="1" ht="30.1" customHeight="1">
      <c r="A5" s="806"/>
      <c r="B5" s="809"/>
      <c r="C5" s="62" t="s">
        <v>51</v>
      </c>
      <c r="D5" s="62" t="s">
        <v>52</v>
      </c>
      <c r="E5" s="809"/>
      <c r="F5" s="316" t="s">
        <v>646</v>
      </c>
      <c r="G5" s="316" t="s">
        <v>647</v>
      </c>
      <c r="H5" s="316" t="s">
        <v>654</v>
      </c>
      <c r="I5" s="316" t="s">
        <v>655</v>
      </c>
      <c r="K5" s="665" t="s">
        <v>695</v>
      </c>
    </row>
    <row r="6" spans="1:20" s="49" customFormat="1" ht="23.95" customHeight="1" thickBot="1">
      <c r="A6" s="807"/>
      <c r="B6" s="179" t="str">
        <f>+A1</f>
        <v>01 DE JUNIO 2021</v>
      </c>
      <c r="C6" s="179" t="str">
        <f>+B6</f>
        <v>01 DE JUNIO 2021</v>
      </c>
      <c r="D6" s="180" t="str">
        <f>+A1</f>
        <v>01 DE JUNIO 2021</v>
      </c>
      <c r="E6" s="179" t="str">
        <f>+D6</f>
        <v>01 DE JUNIO 2021</v>
      </c>
      <c r="F6" s="317" t="str">
        <f>+E6</f>
        <v>01 DE JUNIO 2021</v>
      </c>
      <c r="G6" s="317" t="str">
        <f>+F6</f>
        <v>01 DE JUNIO 2021</v>
      </c>
      <c r="H6" s="317" t="str">
        <f>+G6</f>
        <v>01 DE JUNIO 2021</v>
      </c>
      <c r="I6" s="317" t="str">
        <f>+F6</f>
        <v>01 DE JUNIO 2021</v>
      </c>
      <c r="K6" s="665" t="s">
        <v>693</v>
      </c>
    </row>
    <row r="7" spans="1:20" ht="22.6" customHeight="1" thickTop="1">
      <c r="A7" s="71" t="s">
        <v>3</v>
      </c>
      <c r="B7" s="604">
        <v>4719.72</v>
      </c>
      <c r="C7" s="720">
        <v>6970</v>
      </c>
      <c r="D7" s="721">
        <f>+C7</f>
        <v>6970</v>
      </c>
      <c r="E7" s="609">
        <v>4321.3500000000004</v>
      </c>
      <c r="F7" s="618">
        <v>9770</v>
      </c>
      <c r="G7" s="619">
        <v>9948</v>
      </c>
      <c r="H7" s="618"/>
      <c r="I7" s="619"/>
      <c r="K7" s="659" t="s">
        <v>662</v>
      </c>
    </row>
    <row r="8" spans="1:20" ht="22.6" customHeight="1">
      <c r="A8" s="63" t="s">
        <v>56</v>
      </c>
      <c r="B8" s="604">
        <f>8.14*(1+3%)</f>
        <v>8.3842000000000017</v>
      </c>
      <c r="C8" s="416">
        <f>+B8</f>
        <v>8.3842000000000017</v>
      </c>
      <c r="D8" s="416">
        <f>+C8</f>
        <v>8.3842000000000017</v>
      </c>
      <c r="E8" s="609">
        <f>D8</f>
        <v>8.3842000000000017</v>
      </c>
      <c r="F8" s="520"/>
      <c r="G8" s="525"/>
      <c r="H8" s="516"/>
      <c r="I8" s="594"/>
      <c r="K8" s="659" t="s">
        <v>661</v>
      </c>
      <c r="L8" s="5" t="s">
        <v>708</v>
      </c>
    </row>
    <row r="9" spans="1:20" ht="22.6" customHeight="1">
      <c r="A9" s="63" t="s">
        <v>229</v>
      </c>
      <c r="B9" s="64" t="s">
        <v>11</v>
      </c>
      <c r="C9" s="64" t="s">
        <v>11</v>
      </c>
      <c r="D9" s="64" t="s">
        <v>11</v>
      </c>
      <c r="E9" s="64" t="s">
        <v>11</v>
      </c>
      <c r="F9" s="517" t="s">
        <v>11</v>
      </c>
      <c r="G9" s="526" t="s">
        <v>11</v>
      </c>
      <c r="H9" s="526" t="s">
        <v>11</v>
      </c>
      <c r="I9" s="526" t="s">
        <v>11</v>
      </c>
      <c r="N9" s="603" t="s">
        <v>666</v>
      </c>
    </row>
    <row r="10" spans="1:20" ht="21.75" hidden="1" customHeight="1">
      <c r="A10" s="63" t="s">
        <v>219</v>
      </c>
      <c r="B10" s="609">
        <f>71.51*0</f>
        <v>0</v>
      </c>
      <c r="C10" s="416">
        <f>B10</f>
        <v>0</v>
      </c>
      <c r="D10" s="416">
        <f>B10</f>
        <v>0</v>
      </c>
      <c r="E10" s="609">
        <f>B10</f>
        <v>0</v>
      </c>
      <c r="F10" s="521"/>
      <c r="G10" s="527"/>
      <c r="H10" s="521"/>
      <c r="I10" s="527"/>
      <c r="J10" s="54"/>
      <c r="K10" s="659" t="s">
        <v>661</v>
      </c>
      <c r="L10" s="54"/>
    </row>
    <row r="11" spans="1:20" ht="22.6" customHeight="1">
      <c r="A11" s="63" t="s">
        <v>259</v>
      </c>
      <c r="B11" s="606">
        <f>+Variables!C20</f>
        <v>555.04999999999995</v>
      </c>
      <c r="C11" s="65">
        <f>+Variables!C23</f>
        <v>1053.47</v>
      </c>
      <c r="D11" s="65">
        <f>+ROUND(C11,2)</f>
        <v>1053.47</v>
      </c>
      <c r="E11" s="605">
        <f>+Variables!C27</f>
        <v>531.27</v>
      </c>
      <c r="F11" s="518"/>
      <c r="G11" s="527"/>
      <c r="H11" s="518"/>
      <c r="I11" s="527"/>
      <c r="J11" s="568"/>
      <c r="K11" s="659" t="s">
        <v>661</v>
      </c>
      <c r="L11" s="54"/>
    </row>
    <row r="12" spans="1:20" ht="22.6" customHeight="1">
      <c r="A12" s="63" t="s">
        <v>268</v>
      </c>
      <c r="B12" s="431" t="s">
        <v>332</v>
      </c>
      <c r="C12" s="431" t="s">
        <v>332</v>
      </c>
      <c r="D12" s="431" t="s">
        <v>332</v>
      </c>
      <c r="E12" s="431" t="s">
        <v>332</v>
      </c>
      <c r="F12" s="516" t="s">
        <v>332</v>
      </c>
      <c r="G12" s="527" t="s">
        <v>332</v>
      </c>
      <c r="H12" s="527" t="s">
        <v>332</v>
      </c>
      <c r="I12" s="527" t="s">
        <v>332</v>
      </c>
      <c r="J12" s="54"/>
      <c r="K12" s="54"/>
      <c r="L12" s="54"/>
    </row>
    <row r="13" spans="1:20" ht="22.6" customHeight="1">
      <c r="A13" s="63" t="s">
        <v>311</v>
      </c>
      <c r="B13" s="606">
        <f>+Variables!C46</f>
        <v>159</v>
      </c>
      <c r="C13" s="65">
        <f>+B13</f>
        <v>159</v>
      </c>
      <c r="D13" s="65">
        <f>+C13</f>
        <v>159</v>
      </c>
      <c r="E13" s="605">
        <f>+Variables!C47</f>
        <v>179</v>
      </c>
      <c r="F13" s="518"/>
      <c r="G13" s="527"/>
      <c r="H13" s="516"/>
      <c r="I13" s="527"/>
      <c r="J13" s="54"/>
      <c r="K13" s="659" t="s">
        <v>661</v>
      </c>
      <c r="L13" s="54"/>
    </row>
    <row r="14" spans="1:20" ht="22.6" customHeight="1">
      <c r="A14" s="63" t="s">
        <v>23</v>
      </c>
      <c r="B14" s="64" t="s">
        <v>12</v>
      </c>
      <c r="C14" s="64" t="s">
        <v>12</v>
      </c>
      <c r="D14" s="64" t="s">
        <v>12</v>
      </c>
      <c r="E14" s="64" t="s">
        <v>12</v>
      </c>
      <c r="F14" s="517"/>
      <c r="G14" s="526"/>
      <c r="H14" s="517"/>
      <c r="I14" s="526"/>
      <c r="J14" s="54"/>
      <c r="K14" s="54"/>
      <c r="L14" s="54"/>
    </row>
    <row r="15" spans="1:20" ht="22.6" customHeight="1">
      <c r="A15" s="63" t="s">
        <v>220</v>
      </c>
      <c r="B15" s="64" t="s">
        <v>22</v>
      </c>
      <c r="C15" s="64"/>
      <c r="D15" s="64"/>
      <c r="E15" s="64" t="str">
        <f>+B15</f>
        <v>(***)</v>
      </c>
      <c r="F15" s="522"/>
      <c r="G15" s="528"/>
      <c r="H15" s="521"/>
      <c r="I15" s="528"/>
      <c r="J15" s="569"/>
      <c r="K15" s="54"/>
      <c r="L15" s="54"/>
    </row>
    <row r="16" spans="1:20" ht="22.6" customHeight="1">
      <c r="A16" s="63" t="s">
        <v>8</v>
      </c>
      <c r="B16" s="605">
        <f>+ROUND(0.25*Variables!E20,2)</f>
        <v>1269.69</v>
      </c>
      <c r="C16" s="65">
        <f>+ROUND(Variables!E23*0.25,2)</f>
        <v>1776.95</v>
      </c>
      <c r="D16" s="65">
        <f>+ROUND(C16,2)</f>
        <v>1776.95</v>
      </c>
      <c r="E16" s="605">
        <f>+ROUND(Variables!E27*0.06,2)</f>
        <v>301.48</v>
      </c>
      <c r="F16" s="523" t="s">
        <v>2</v>
      </c>
      <c r="G16" s="529" t="s">
        <v>2</v>
      </c>
      <c r="H16" s="518"/>
      <c r="I16" s="529"/>
      <c r="J16" s="569"/>
      <c r="K16" s="659" t="s">
        <v>661</v>
      </c>
      <c r="L16" s="54">
        <f>5024*0.06</f>
        <v>301.44</v>
      </c>
      <c r="M16" s="5" t="s">
        <v>690</v>
      </c>
      <c r="P16" s="5" t="s">
        <v>691</v>
      </c>
      <c r="Q16" s="5">
        <f>5078.77*0.25</f>
        <v>1269.6925000000001</v>
      </c>
      <c r="S16" s="5" t="s">
        <v>692</v>
      </c>
      <c r="T16" s="54">
        <f>7107.81*0.25</f>
        <v>1776.9525000000001</v>
      </c>
    </row>
    <row r="17" spans="1:12" ht="22.6" customHeight="1">
      <c r="A17" s="63" t="s">
        <v>5</v>
      </c>
      <c r="B17" s="64" t="s">
        <v>12</v>
      </c>
      <c r="C17" s="64" t="s">
        <v>12</v>
      </c>
      <c r="D17" s="64" t="s">
        <v>12</v>
      </c>
      <c r="E17" s="64" t="s">
        <v>12</v>
      </c>
      <c r="F17" s="523" t="s">
        <v>2</v>
      </c>
      <c r="G17" s="529" t="s">
        <v>2</v>
      </c>
      <c r="H17" s="516"/>
      <c r="I17" s="529"/>
      <c r="J17" s="570"/>
      <c r="K17" s="571"/>
      <c r="L17" s="54"/>
    </row>
    <row r="18" spans="1:12" ht="22.6" customHeight="1">
      <c r="A18" s="63" t="s">
        <v>221</v>
      </c>
      <c r="B18" s="64" t="s">
        <v>22</v>
      </c>
      <c r="C18" s="64"/>
      <c r="D18" s="64"/>
      <c r="E18" s="64" t="str">
        <f>+B18</f>
        <v>(***)</v>
      </c>
      <c r="F18" s="523" t="s">
        <v>2</v>
      </c>
      <c r="G18" s="529" t="s">
        <v>2</v>
      </c>
      <c r="H18" s="516"/>
      <c r="I18" s="529"/>
      <c r="J18" s="54"/>
      <c r="K18" s="572"/>
      <c r="L18" s="54"/>
    </row>
    <row r="19" spans="1:12" ht="22.6" customHeight="1">
      <c r="A19" s="63" t="s">
        <v>7</v>
      </c>
      <c r="B19" s="64" t="s">
        <v>222</v>
      </c>
      <c r="C19" s="64"/>
      <c r="D19" s="64"/>
      <c r="E19" s="64"/>
      <c r="F19" s="524" t="s">
        <v>2</v>
      </c>
      <c r="G19" s="530" t="s">
        <v>2</v>
      </c>
      <c r="H19" s="517"/>
      <c r="I19" s="530"/>
      <c r="J19" s="573"/>
      <c r="K19" s="54"/>
    </row>
    <row r="20" spans="1:12" ht="22.6" customHeight="1">
      <c r="A20" s="63" t="s">
        <v>226</v>
      </c>
      <c r="B20" s="64" t="s">
        <v>22</v>
      </c>
      <c r="C20" s="65"/>
      <c r="D20" s="65"/>
      <c r="E20" s="64" t="str">
        <f>+B20</f>
        <v>(***)</v>
      </c>
      <c r="F20" s="523" t="s">
        <v>2</v>
      </c>
      <c r="G20" s="529" t="s">
        <v>2</v>
      </c>
      <c r="H20" s="521"/>
      <c r="I20" s="529"/>
      <c r="J20" s="574"/>
      <c r="K20" s="54"/>
      <c r="L20" s="54"/>
    </row>
    <row r="21" spans="1:12" ht="22.6" customHeight="1" thickBot="1">
      <c r="A21" s="68" t="s">
        <v>9</v>
      </c>
      <c r="B21" s="69" t="s">
        <v>12</v>
      </c>
      <c r="C21" s="69" t="s">
        <v>12</v>
      </c>
      <c r="D21" s="69" t="s">
        <v>12</v>
      </c>
      <c r="E21" s="69" t="s">
        <v>12</v>
      </c>
      <c r="F21" s="519" t="s">
        <v>2</v>
      </c>
      <c r="G21" s="531" t="s">
        <v>2</v>
      </c>
      <c r="H21" s="595"/>
      <c r="I21" s="531"/>
      <c r="J21" s="569"/>
      <c r="K21" s="54"/>
      <c r="L21" s="54"/>
    </row>
    <row r="22" spans="1:12" ht="21.75" customHeight="1" thickTop="1">
      <c r="A22" s="802"/>
      <c r="B22" s="803"/>
      <c r="C22" s="803"/>
      <c r="D22" s="803"/>
      <c r="E22" s="803"/>
      <c r="F22" s="803"/>
      <c r="G22" s="803"/>
      <c r="H22" s="586"/>
      <c r="J22" s="54"/>
      <c r="K22" s="54"/>
      <c r="L22" s="54"/>
    </row>
    <row r="23" spans="1:12" s="61" customFormat="1" ht="41.3" customHeight="1">
      <c r="A23" s="804" t="s">
        <v>717</v>
      </c>
      <c r="B23" s="804"/>
      <c r="C23" s="804"/>
      <c r="D23" s="804"/>
      <c r="E23" s="804"/>
      <c r="F23" s="804"/>
      <c r="G23" s="804"/>
      <c r="H23" s="804"/>
      <c r="I23" s="804"/>
    </row>
    <row r="24" spans="1:12" s="61" customFormat="1" ht="11.25" customHeight="1">
      <c r="A24" s="796"/>
      <c r="B24" s="796"/>
      <c r="C24" s="796"/>
      <c r="D24" s="796"/>
      <c r="E24" s="796"/>
      <c r="F24" s="796"/>
      <c r="G24" s="796"/>
      <c r="H24" s="796"/>
      <c r="I24" s="796"/>
    </row>
    <row r="25" spans="1:12" s="61" customFormat="1" ht="31.6" customHeight="1">
      <c r="A25" s="804" t="s">
        <v>216</v>
      </c>
      <c r="B25" s="804"/>
      <c r="C25" s="804"/>
      <c r="D25" s="804"/>
      <c r="E25" s="804"/>
      <c r="F25" s="804"/>
      <c r="G25" s="804"/>
      <c r="H25" s="804"/>
      <c r="I25" s="804"/>
    </row>
    <row r="26" spans="1:12" s="61" customFormat="1" ht="7.5" customHeight="1">
      <c r="A26" s="796"/>
      <c r="B26" s="796"/>
      <c r="C26" s="796"/>
      <c r="D26" s="796"/>
      <c r="E26" s="796"/>
      <c r="F26" s="796"/>
      <c r="G26" s="796"/>
      <c r="H26" s="796"/>
      <c r="I26" s="796"/>
    </row>
    <row r="27" spans="1:12" ht="43.5" customHeight="1">
      <c r="A27" s="805" t="s">
        <v>648</v>
      </c>
      <c r="B27" s="805"/>
      <c r="C27" s="805"/>
      <c r="D27" s="805"/>
      <c r="E27" s="805"/>
      <c r="F27" s="805"/>
      <c r="G27" s="805"/>
      <c r="H27" s="805"/>
      <c r="I27" s="805"/>
    </row>
    <row r="28" spans="1:12" s="8" customFormat="1" ht="8.35" customHeight="1">
      <c r="A28" s="796"/>
      <c r="B28" s="796"/>
      <c r="C28" s="796"/>
      <c r="D28" s="796"/>
      <c r="E28" s="796"/>
      <c r="F28" s="796"/>
      <c r="G28" s="796"/>
      <c r="H28" s="796"/>
      <c r="I28" s="796"/>
    </row>
    <row r="29" spans="1:12" ht="18" customHeight="1">
      <c r="A29" s="798" t="s">
        <v>217</v>
      </c>
      <c r="B29" s="798"/>
      <c r="C29" s="798"/>
      <c r="D29" s="798"/>
      <c r="E29" s="798"/>
      <c r="F29" s="798"/>
      <c r="G29" s="798"/>
      <c r="H29" s="798"/>
      <c r="I29" s="798"/>
    </row>
    <row r="30" spans="1:12" ht="7.5" customHeight="1">
      <c r="A30" s="795"/>
      <c r="B30" s="795"/>
      <c r="C30" s="795"/>
      <c r="D30" s="795"/>
      <c r="E30" s="795"/>
      <c r="F30" s="795"/>
      <c r="G30" s="795"/>
      <c r="H30" s="795"/>
      <c r="I30" s="795"/>
    </row>
    <row r="31" spans="1:12" ht="14.3" customHeight="1">
      <c r="A31" s="797" t="s">
        <v>280</v>
      </c>
      <c r="B31" s="797"/>
      <c r="C31" s="797"/>
      <c r="D31" s="797"/>
      <c r="E31" s="797"/>
      <c r="F31" s="797"/>
      <c r="G31" s="797"/>
      <c r="H31" s="797"/>
      <c r="I31" s="797"/>
    </row>
    <row r="32" spans="1:12" s="9" customFormat="1" ht="18" customHeight="1">
      <c r="A32" s="798" t="s">
        <v>287</v>
      </c>
      <c r="B32" s="798"/>
      <c r="C32" s="798"/>
      <c r="D32" s="798"/>
      <c r="E32" s="798"/>
      <c r="F32" s="798"/>
      <c r="G32" s="798"/>
      <c r="H32" s="798"/>
      <c r="I32" s="798"/>
    </row>
    <row r="33" spans="1:9" s="9" customFormat="1" ht="21.1" customHeight="1">
      <c r="A33" s="794" t="s">
        <v>650</v>
      </c>
      <c r="B33" s="794"/>
      <c r="C33" s="794"/>
      <c r="D33" s="794"/>
      <c r="E33" s="794"/>
      <c r="F33" s="794"/>
      <c r="G33" s="794"/>
      <c r="H33" s="794"/>
      <c r="I33" s="794"/>
    </row>
    <row r="34" spans="1:9" s="9" customFormat="1" ht="21.1" customHeight="1">
      <c r="A34" s="794" t="s">
        <v>649</v>
      </c>
      <c r="B34" s="794"/>
      <c r="C34" s="794"/>
      <c r="D34" s="794"/>
      <c r="E34" s="794"/>
      <c r="F34" s="794"/>
      <c r="G34" s="794"/>
      <c r="H34" s="794"/>
      <c r="I34" s="794"/>
    </row>
    <row r="35" spans="1:9" s="9" customFormat="1" ht="21.1" customHeight="1">
      <c r="A35" s="794" t="s">
        <v>644</v>
      </c>
      <c r="B35" s="794"/>
      <c r="C35" s="794"/>
      <c r="D35" s="794"/>
      <c r="E35" s="794"/>
      <c r="F35" s="794"/>
      <c r="G35" s="794"/>
      <c r="H35" s="794"/>
      <c r="I35" s="794"/>
    </row>
    <row r="36" spans="1:9" s="9" customFormat="1" ht="21.1" customHeight="1">
      <c r="A36" s="794" t="s">
        <v>645</v>
      </c>
      <c r="B36" s="794"/>
      <c r="C36" s="794"/>
      <c r="D36" s="794"/>
      <c r="E36" s="794"/>
      <c r="F36" s="794"/>
      <c r="G36" s="794"/>
      <c r="H36" s="794"/>
      <c r="I36" s="794"/>
    </row>
    <row r="37" spans="1:9" s="9" customFormat="1">
      <c r="A37" s="794"/>
      <c r="B37" s="794"/>
      <c r="C37" s="794"/>
      <c r="D37" s="794"/>
      <c r="E37" s="794"/>
      <c r="F37" s="794"/>
      <c r="G37" s="794"/>
      <c r="H37" s="794"/>
      <c r="I37" s="794"/>
    </row>
    <row r="38" spans="1:9" s="9" customFormat="1" ht="14.3" customHeight="1">
      <c r="A38" s="798" t="s">
        <v>639</v>
      </c>
      <c r="B38" s="798"/>
      <c r="C38" s="798"/>
      <c r="D38" s="798"/>
      <c r="E38" s="798"/>
      <c r="F38" s="798"/>
      <c r="G38" s="798"/>
      <c r="H38" s="798"/>
      <c r="I38" s="798"/>
    </row>
    <row r="39" spans="1:9" s="9" customFormat="1" ht="14.3" customHeight="1">
      <c r="A39" s="798"/>
      <c r="B39" s="798"/>
      <c r="C39" s="798"/>
      <c r="D39" s="798"/>
      <c r="E39" s="798"/>
      <c r="F39" s="798"/>
      <c r="G39" s="798"/>
      <c r="H39" s="798"/>
      <c r="I39" s="798"/>
    </row>
    <row r="40" spans="1:9" s="9" customFormat="1" ht="14.3" customHeight="1">
      <c r="A40" s="798"/>
      <c r="B40" s="798"/>
      <c r="C40" s="798"/>
      <c r="D40" s="798"/>
      <c r="E40" s="798"/>
      <c r="F40" s="798"/>
      <c r="G40" s="798"/>
      <c r="H40" s="798"/>
      <c r="I40" s="798"/>
    </row>
    <row r="41" spans="1:9" s="9" customFormat="1" ht="14.3" customHeight="1">
      <c r="A41" s="798"/>
      <c r="B41" s="798"/>
      <c r="C41" s="798"/>
      <c r="D41" s="798"/>
      <c r="E41" s="798"/>
      <c r="F41" s="798"/>
      <c r="G41" s="798"/>
      <c r="H41" s="798"/>
      <c r="I41" s="798"/>
    </row>
    <row r="42" spans="1:9" s="9" customFormat="1" ht="71.349999999999994" customHeight="1">
      <c r="A42" s="798" t="s">
        <v>641</v>
      </c>
      <c r="B42" s="798"/>
      <c r="C42" s="798"/>
      <c r="D42" s="798"/>
      <c r="E42" s="798"/>
      <c r="F42" s="798"/>
      <c r="G42" s="798"/>
      <c r="H42" s="798"/>
      <c r="I42" s="798"/>
    </row>
    <row r="43" spans="1:9" s="9" customFormat="1" ht="41.95" customHeight="1">
      <c r="A43" s="798" t="s">
        <v>640</v>
      </c>
      <c r="B43" s="798"/>
      <c r="C43" s="798"/>
      <c r="D43" s="798"/>
      <c r="E43" s="798"/>
      <c r="F43" s="798"/>
      <c r="G43" s="798"/>
      <c r="H43" s="798"/>
      <c r="I43" s="798"/>
    </row>
    <row r="44" spans="1:9" s="9" customFormat="1">
      <c r="A44" s="800"/>
      <c r="B44" s="800"/>
      <c r="C44" s="800"/>
      <c r="D44" s="800"/>
      <c r="E44" s="800"/>
      <c r="F44" s="800"/>
      <c r="G44" s="800"/>
      <c r="H44" s="800"/>
      <c r="I44" s="800"/>
    </row>
    <row r="45" spans="1:9" s="9" customFormat="1" ht="90" customHeight="1">
      <c r="A45" s="799" t="s">
        <v>288</v>
      </c>
      <c r="B45" s="799"/>
      <c r="C45" s="799"/>
      <c r="D45" s="799"/>
      <c r="E45" s="799"/>
      <c r="F45" s="799"/>
      <c r="G45" s="799"/>
      <c r="H45" s="799"/>
      <c r="I45" s="799"/>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password="C712"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6"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showGridLines="0" topLeftCell="A5" zoomScaleNormal="100" workbookViewId="0">
      <selection activeCell="U14" sqref="U14"/>
    </sheetView>
  </sheetViews>
  <sheetFormatPr baseColWidth="10" defaultColWidth="11.375" defaultRowHeight="13.6" outlineLevelCol="1"/>
  <cols>
    <col min="1" max="1" width="59.875" style="301" customWidth="1"/>
    <col min="2" max="2" width="18.875" style="301" customWidth="1" outlineLevel="1"/>
    <col min="3" max="4" width="18.875" style="301" customWidth="1"/>
    <col min="5" max="5" width="21" style="301" customWidth="1" outlineLevel="1"/>
    <col min="6" max="6" width="22.875" style="301" hidden="1" customWidth="1" outlineLevel="1"/>
    <col min="7" max="7" width="23" style="301" hidden="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 customHeight="1">
      <c r="A1" s="814" t="s">
        <v>720</v>
      </c>
      <c r="B1" s="814"/>
      <c r="C1" s="814"/>
      <c r="D1" s="814"/>
      <c r="E1" s="814"/>
      <c r="F1" s="814"/>
      <c r="G1" s="2"/>
      <c r="H1" s="2"/>
    </row>
    <row r="2" spans="1:20" s="55" customFormat="1" ht="68.3" customHeight="1">
      <c r="A2" s="813"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11 de Mayo de 2021 al 08 de Junio de 2021 o hasta el momento en que el MME lo determine</v>
      </c>
      <c r="B2" s="813"/>
      <c r="C2" s="813"/>
      <c r="D2" s="813"/>
      <c r="E2" s="813"/>
      <c r="F2" s="813"/>
      <c r="G2" s="813"/>
      <c r="H2" s="587"/>
      <c r="I2" s="588"/>
    </row>
    <row r="3" spans="1:20" s="55" customFormat="1" ht="21.75" customHeight="1">
      <c r="A3" s="314" t="s">
        <v>0</v>
      </c>
      <c r="B3" s="717"/>
      <c r="C3" s="717"/>
      <c r="D3" s="717"/>
      <c r="E3" s="717"/>
      <c r="F3" s="717"/>
      <c r="G3" s="717"/>
      <c r="H3" s="717"/>
      <c r="I3" s="315"/>
      <c r="K3" s="658"/>
      <c r="M3" s="715"/>
    </row>
    <row r="4" spans="1:20" s="49" customFormat="1" ht="23.95" customHeight="1">
      <c r="A4" s="806" t="s">
        <v>1</v>
      </c>
      <c r="B4" s="808" t="s">
        <v>25</v>
      </c>
      <c r="C4" s="810" t="s">
        <v>10</v>
      </c>
      <c r="D4" s="811"/>
      <c r="E4" s="808" t="s">
        <v>643</v>
      </c>
      <c r="F4" s="810" t="s">
        <v>642</v>
      </c>
      <c r="G4" s="812"/>
      <c r="H4" s="810" t="s">
        <v>642</v>
      </c>
      <c r="I4" s="812"/>
      <c r="K4" s="657"/>
      <c r="M4" s="714"/>
    </row>
    <row r="5" spans="1:20" s="49" customFormat="1" ht="30.1" customHeight="1">
      <c r="A5" s="806"/>
      <c r="B5" s="809"/>
      <c r="C5" s="62" t="s">
        <v>51</v>
      </c>
      <c r="D5" s="62" t="s">
        <v>52</v>
      </c>
      <c r="E5" s="809"/>
      <c r="F5" s="316" t="s">
        <v>646</v>
      </c>
      <c r="G5" s="316" t="s">
        <v>647</v>
      </c>
      <c r="H5" s="316" t="s">
        <v>654</v>
      </c>
      <c r="I5" s="316" t="s">
        <v>655</v>
      </c>
      <c r="K5" s="665" t="s">
        <v>695</v>
      </c>
    </row>
    <row r="6" spans="1:20" s="49" customFormat="1" ht="61.5" customHeight="1" thickBot="1">
      <c r="A6" s="807"/>
      <c r="B6" s="179" t="str">
        <f>+A1</f>
        <v>Vigencia: 11 de Mayo de 2021 al 08 de Junio de 2021 o hasta el momento en que el MME lo determine</v>
      </c>
      <c r="C6" s="179" t="str">
        <f>+B6</f>
        <v>Vigencia: 11 de Mayo de 2021 al 08 de Junio de 2021 o hasta el momento en que el MME lo determine</v>
      </c>
      <c r="D6" s="180" t="str">
        <f>+A1</f>
        <v>Vigencia: 11 de Mayo de 2021 al 08 de Junio de 2021 o hasta el momento en que el MME lo determine</v>
      </c>
      <c r="E6" s="179" t="str">
        <f>+D6</f>
        <v>Vigencia: 11 de Mayo de 2021 al 08 de Junio de 2021 o hasta el momento en que el MME lo determine</v>
      </c>
      <c r="F6" s="317" t="str">
        <f>+E6</f>
        <v>Vigencia: 11 de Mayo de 2021 al 08 de Junio de 2021 o hasta el momento en que el MME lo determine</v>
      </c>
      <c r="G6" s="317" t="str">
        <f>+F6</f>
        <v>Vigencia: 11 de Mayo de 2021 al 08 de Junio de 2021 o hasta el momento en que el MME lo determine</v>
      </c>
      <c r="H6" s="317" t="str">
        <f>+G6</f>
        <v>Vigencia: 11 de Mayo de 2021 al 08 de Junio de 2021 o hasta el momento en que el MME lo determine</v>
      </c>
      <c r="I6" s="317" t="str">
        <f>+F6</f>
        <v>Vigencia: 11 de Mayo de 2021 al 08 de Junio de 2021 o hasta el momento en que el MME lo determine</v>
      </c>
      <c r="K6" s="665" t="s">
        <v>693</v>
      </c>
    </row>
    <row r="7" spans="1:20" ht="22.6" customHeight="1" thickTop="1">
      <c r="A7" s="71" t="s">
        <v>3</v>
      </c>
      <c r="B7" s="604">
        <v>4931.12</v>
      </c>
      <c r="C7" s="720">
        <f>+'COMBUSTIBLES '!C7</f>
        <v>6970</v>
      </c>
      <c r="D7" s="721">
        <f>+C7</f>
        <v>6970</v>
      </c>
      <c r="E7" s="609">
        <v>5782.38</v>
      </c>
      <c r="F7" s="618">
        <v>9770</v>
      </c>
      <c r="G7" s="619">
        <v>9943.51</v>
      </c>
      <c r="H7" s="618"/>
      <c r="I7" s="619"/>
      <c r="K7" s="659" t="s">
        <v>662</v>
      </c>
    </row>
    <row r="8" spans="1:20" ht="22.6" customHeight="1">
      <c r="A8" s="63" t="s">
        <v>56</v>
      </c>
      <c r="B8" s="604">
        <f>8.14*(1+3%)</f>
        <v>8.3842000000000017</v>
      </c>
      <c r="C8" s="416">
        <f>+B8</f>
        <v>8.3842000000000017</v>
      </c>
      <c r="D8" s="416">
        <f>+C8</f>
        <v>8.3842000000000017</v>
      </c>
      <c r="E8" s="609">
        <f>D8</f>
        <v>8.3842000000000017</v>
      </c>
      <c r="F8" s="520"/>
      <c r="G8" s="525"/>
      <c r="H8" s="516"/>
      <c r="I8" s="594"/>
      <c r="K8" s="659" t="s">
        <v>661</v>
      </c>
      <c r="L8" s="5" t="s">
        <v>708</v>
      </c>
    </row>
    <row r="9" spans="1:20" ht="22.6" customHeight="1">
      <c r="A9" s="63" t="s">
        <v>229</v>
      </c>
      <c r="B9" s="64" t="s">
        <v>11</v>
      </c>
      <c r="C9" s="64" t="s">
        <v>11</v>
      </c>
      <c r="D9" s="64" t="s">
        <v>11</v>
      </c>
      <c r="E9" s="64" t="s">
        <v>11</v>
      </c>
      <c r="F9" s="517" t="s">
        <v>11</v>
      </c>
      <c r="G9" s="526" t="s">
        <v>11</v>
      </c>
      <c r="H9" s="526" t="s">
        <v>11</v>
      </c>
      <c r="I9" s="526" t="s">
        <v>11</v>
      </c>
      <c r="N9" s="603" t="s">
        <v>666</v>
      </c>
    </row>
    <row r="10" spans="1:20" ht="22.6" hidden="1" customHeight="1">
      <c r="A10" s="63" t="s">
        <v>219</v>
      </c>
      <c r="B10" s="609">
        <f>71.51*0</f>
        <v>0</v>
      </c>
      <c r="C10" s="416">
        <f>B10</f>
        <v>0</v>
      </c>
      <c r="D10" s="416">
        <f>B10</f>
        <v>0</v>
      </c>
      <c r="E10" s="609">
        <f>B10</f>
        <v>0</v>
      </c>
      <c r="F10" s="521"/>
      <c r="G10" s="527"/>
      <c r="H10" s="521"/>
      <c r="I10" s="527"/>
      <c r="J10" s="54"/>
      <c r="K10" s="659" t="s">
        <v>661</v>
      </c>
      <c r="L10" s="54"/>
    </row>
    <row r="11" spans="1:20" ht="22.6" customHeight="1">
      <c r="A11" s="63" t="s">
        <v>259</v>
      </c>
      <c r="B11" s="606">
        <f>+Variables!C20</f>
        <v>555.04999999999995</v>
      </c>
      <c r="C11" s="65">
        <f>+Variables!C23</f>
        <v>1053.47</v>
      </c>
      <c r="D11" s="65">
        <f>+ROUND(C11,2)</f>
        <v>1053.47</v>
      </c>
      <c r="E11" s="605">
        <f>+Variables!C27</f>
        <v>531.27</v>
      </c>
      <c r="F11" s="518"/>
      <c r="G11" s="527"/>
      <c r="H11" s="518"/>
      <c r="I11" s="527"/>
      <c r="J11" s="568"/>
      <c r="K11" s="659" t="s">
        <v>661</v>
      </c>
      <c r="L11" s="54"/>
    </row>
    <row r="12" spans="1:20" ht="22.6" customHeight="1">
      <c r="A12" s="63" t="s">
        <v>268</v>
      </c>
      <c r="B12" s="431" t="s">
        <v>332</v>
      </c>
      <c r="C12" s="431" t="s">
        <v>332</v>
      </c>
      <c r="D12" s="431" t="s">
        <v>332</v>
      </c>
      <c r="E12" s="431" t="s">
        <v>332</v>
      </c>
      <c r="F12" s="516" t="s">
        <v>332</v>
      </c>
      <c r="G12" s="527" t="s">
        <v>332</v>
      </c>
      <c r="H12" s="527" t="s">
        <v>332</v>
      </c>
      <c r="I12" s="527" t="s">
        <v>332</v>
      </c>
      <c r="J12" s="54"/>
      <c r="K12" s="54"/>
      <c r="L12" s="54"/>
    </row>
    <row r="13" spans="1:20" ht="22.6" customHeight="1">
      <c r="A13" s="63" t="s">
        <v>311</v>
      </c>
      <c r="B13" s="606">
        <f>+Variables!C46</f>
        <v>159</v>
      </c>
      <c r="C13" s="65">
        <f>+B13</f>
        <v>159</v>
      </c>
      <c r="D13" s="65">
        <f>+C13</f>
        <v>159</v>
      </c>
      <c r="E13" s="605">
        <f>+Variables!C47</f>
        <v>179</v>
      </c>
      <c r="F13" s="518"/>
      <c r="G13" s="527"/>
      <c r="H13" s="516"/>
      <c r="I13" s="527"/>
      <c r="J13" s="54"/>
      <c r="K13" s="659" t="s">
        <v>661</v>
      </c>
      <c r="L13" s="54"/>
    </row>
    <row r="14" spans="1:20" ht="22.6" customHeight="1">
      <c r="A14" s="63" t="s">
        <v>23</v>
      </c>
      <c r="B14" s="64" t="s">
        <v>12</v>
      </c>
      <c r="C14" s="64" t="s">
        <v>12</v>
      </c>
      <c r="D14" s="64" t="s">
        <v>12</v>
      </c>
      <c r="E14" s="64" t="s">
        <v>12</v>
      </c>
      <c r="F14" s="517"/>
      <c r="G14" s="526"/>
      <c r="H14" s="517"/>
      <c r="I14" s="526"/>
      <c r="J14" s="54"/>
      <c r="K14" s="54"/>
      <c r="L14" s="54"/>
    </row>
    <row r="15" spans="1:20" ht="22.6" customHeight="1">
      <c r="A15" s="63" t="s">
        <v>220</v>
      </c>
      <c r="B15" s="64" t="s">
        <v>22</v>
      </c>
      <c r="C15" s="64"/>
      <c r="D15" s="64"/>
      <c r="E15" s="64" t="str">
        <f>+B15</f>
        <v>(***)</v>
      </c>
      <c r="F15" s="522"/>
      <c r="G15" s="528"/>
      <c r="H15" s="521"/>
      <c r="I15" s="528"/>
      <c r="J15" s="569"/>
      <c r="K15" s="54"/>
      <c r="L15" s="54"/>
    </row>
    <row r="16" spans="1:20" ht="22.6" customHeight="1">
      <c r="A16" s="63" t="s">
        <v>8</v>
      </c>
      <c r="B16" s="605">
        <f>+ROUND(0.25*Variables!E20,2)</f>
        <v>1269.69</v>
      </c>
      <c r="C16" s="65">
        <f>+ROUND(Variables!E23*0.25,2)</f>
        <v>1776.95</v>
      </c>
      <c r="D16" s="65">
        <f>+ROUND(C16,2)</f>
        <v>1776.95</v>
      </c>
      <c r="E16" s="605">
        <f>+ROUND(Variables!E27*0.06,2)</f>
        <v>301.48</v>
      </c>
      <c r="F16" s="523" t="s">
        <v>2</v>
      </c>
      <c r="G16" s="529" t="s">
        <v>2</v>
      </c>
      <c r="H16" s="518"/>
      <c r="I16" s="529"/>
      <c r="J16" s="569"/>
      <c r="K16" s="659" t="s">
        <v>661</v>
      </c>
      <c r="L16" s="54">
        <f>5024*0.06</f>
        <v>301.44</v>
      </c>
      <c r="M16" s="5" t="s">
        <v>690</v>
      </c>
      <c r="P16" s="5" t="s">
        <v>691</v>
      </c>
      <c r="Q16" s="5">
        <f>5078.77*0.25</f>
        <v>1269.6925000000001</v>
      </c>
      <c r="S16" s="5" t="s">
        <v>692</v>
      </c>
      <c r="T16" s="54">
        <f>7107.81*0.25</f>
        <v>1776.9525000000001</v>
      </c>
    </row>
    <row r="17" spans="1:12" ht="22.6" customHeight="1">
      <c r="A17" s="63" t="s">
        <v>5</v>
      </c>
      <c r="B17" s="64" t="s">
        <v>12</v>
      </c>
      <c r="C17" s="64" t="s">
        <v>12</v>
      </c>
      <c r="D17" s="64" t="s">
        <v>12</v>
      </c>
      <c r="E17" s="64" t="s">
        <v>12</v>
      </c>
      <c r="F17" s="523" t="s">
        <v>2</v>
      </c>
      <c r="G17" s="529" t="s">
        <v>2</v>
      </c>
      <c r="H17" s="516"/>
      <c r="I17" s="529"/>
      <c r="J17" s="570"/>
      <c r="K17" s="571"/>
      <c r="L17" s="54"/>
    </row>
    <row r="18" spans="1:12" ht="22.6" customHeight="1">
      <c r="A18" s="63" t="s">
        <v>221</v>
      </c>
      <c r="B18" s="64" t="s">
        <v>22</v>
      </c>
      <c r="C18" s="64"/>
      <c r="D18" s="64"/>
      <c r="E18" s="64" t="str">
        <f>+B18</f>
        <v>(***)</v>
      </c>
      <c r="F18" s="523" t="s">
        <v>2</v>
      </c>
      <c r="G18" s="529" t="s">
        <v>2</v>
      </c>
      <c r="H18" s="516"/>
      <c r="I18" s="529"/>
      <c r="J18" s="54"/>
      <c r="K18" s="572"/>
      <c r="L18" s="54"/>
    </row>
    <row r="19" spans="1:12" ht="22.6" customHeight="1">
      <c r="A19" s="63" t="s">
        <v>7</v>
      </c>
      <c r="B19" s="64" t="s">
        <v>222</v>
      </c>
      <c r="C19" s="64"/>
      <c r="D19" s="64"/>
      <c r="E19" s="64"/>
      <c r="F19" s="524" t="s">
        <v>2</v>
      </c>
      <c r="G19" s="530" t="s">
        <v>2</v>
      </c>
      <c r="H19" s="517"/>
      <c r="I19" s="530"/>
      <c r="J19" s="573"/>
      <c r="K19" s="54"/>
    </row>
    <row r="20" spans="1:12" ht="22.6" customHeight="1">
      <c r="A20" s="63" t="s">
        <v>226</v>
      </c>
      <c r="B20" s="64" t="s">
        <v>22</v>
      </c>
      <c r="C20" s="65"/>
      <c r="D20" s="65"/>
      <c r="E20" s="64" t="str">
        <f>+B20</f>
        <v>(***)</v>
      </c>
      <c r="F20" s="523" t="s">
        <v>2</v>
      </c>
      <c r="G20" s="529" t="s">
        <v>2</v>
      </c>
      <c r="H20" s="521"/>
      <c r="I20" s="529"/>
      <c r="J20" s="574"/>
      <c r="K20" s="54"/>
      <c r="L20" s="54"/>
    </row>
    <row r="21" spans="1:12" ht="22.6" customHeight="1" thickBot="1">
      <c r="A21" s="68" t="s">
        <v>9</v>
      </c>
      <c r="B21" s="69" t="s">
        <v>12</v>
      </c>
      <c r="C21" s="69" t="s">
        <v>12</v>
      </c>
      <c r="D21" s="69" t="s">
        <v>12</v>
      </c>
      <c r="E21" s="69" t="s">
        <v>12</v>
      </c>
      <c r="F21" s="519" t="s">
        <v>2</v>
      </c>
      <c r="G21" s="531" t="s">
        <v>2</v>
      </c>
      <c r="H21" s="595"/>
      <c r="I21" s="531"/>
      <c r="J21" s="569"/>
      <c r="K21" s="54"/>
      <c r="L21" s="54"/>
    </row>
    <row r="22" spans="1:12" ht="21.75" customHeight="1" thickTop="1">
      <c r="A22" s="802" t="s">
        <v>721</v>
      </c>
      <c r="B22" s="803"/>
      <c r="C22" s="803"/>
      <c r="D22" s="803"/>
      <c r="E22" s="803"/>
      <c r="F22" s="803"/>
      <c r="G22" s="803"/>
      <c r="H22" s="718"/>
      <c r="J22" s="54"/>
      <c r="K22" s="54"/>
      <c r="L22" s="54"/>
    </row>
    <row r="23" spans="1:12" s="61" customFormat="1" ht="41.3" customHeight="1">
      <c r="A23" s="804" t="s">
        <v>717</v>
      </c>
      <c r="B23" s="804"/>
      <c r="C23" s="804"/>
      <c r="D23" s="804"/>
      <c r="E23" s="804"/>
      <c r="F23" s="804"/>
      <c r="G23" s="804"/>
      <c r="H23" s="804"/>
      <c r="I23" s="804"/>
    </row>
    <row r="24" spans="1:12" s="61" customFormat="1" ht="11.25" customHeight="1">
      <c r="A24" s="796"/>
      <c r="B24" s="796"/>
      <c r="C24" s="796"/>
      <c r="D24" s="796"/>
      <c r="E24" s="796"/>
      <c r="F24" s="796"/>
      <c r="G24" s="796"/>
      <c r="H24" s="796"/>
      <c r="I24" s="796"/>
    </row>
    <row r="25" spans="1:12" s="61" customFormat="1" ht="31.6" customHeight="1">
      <c r="A25" s="804" t="s">
        <v>216</v>
      </c>
      <c r="B25" s="804"/>
      <c r="C25" s="804"/>
      <c r="D25" s="804"/>
      <c r="E25" s="804"/>
      <c r="F25" s="804"/>
      <c r="G25" s="804"/>
      <c r="H25" s="804"/>
      <c r="I25" s="804"/>
    </row>
    <row r="26" spans="1:12" s="61" customFormat="1" ht="7.5" customHeight="1">
      <c r="A26" s="796"/>
      <c r="B26" s="796"/>
      <c r="C26" s="796"/>
      <c r="D26" s="796"/>
      <c r="E26" s="796"/>
      <c r="F26" s="796"/>
      <c r="G26" s="796"/>
      <c r="H26" s="796"/>
      <c r="I26" s="796"/>
    </row>
    <row r="27" spans="1:12" ht="43.5" customHeight="1">
      <c r="A27" s="805" t="s">
        <v>648</v>
      </c>
      <c r="B27" s="805"/>
      <c r="C27" s="805"/>
      <c r="D27" s="805"/>
      <c r="E27" s="805"/>
      <c r="F27" s="805"/>
      <c r="G27" s="805"/>
      <c r="H27" s="805"/>
      <c r="I27" s="805"/>
    </row>
    <row r="28" spans="1:12" s="8" customFormat="1" ht="8.35" customHeight="1">
      <c r="A28" s="796"/>
      <c r="B28" s="796"/>
      <c r="C28" s="796"/>
      <c r="D28" s="796"/>
      <c r="E28" s="796"/>
      <c r="F28" s="796"/>
      <c r="G28" s="796"/>
      <c r="H28" s="796"/>
      <c r="I28" s="796"/>
    </row>
    <row r="29" spans="1:12" ht="18" customHeight="1">
      <c r="A29" s="798" t="s">
        <v>217</v>
      </c>
      <c r="B29" s="798"/>
      <c r="C29" s="798"/>
      <c r="D29" s="798"/>
      <c r="E29" s="798"/>
      <c r="F29" s="798"/>
      <c r="G29" s="798"/>
      <c r="H29" s="798"/>
      <c r="I29" s="798"/>
    </row>
    <row r="30" spans="1:12" ht="7.5" customHeight="1">
      <c r="A30" s="795"/>
      <c r="B30" s="795"/>
      <c r="C30" s="795"/>
      <c r="D30" s="795"/>
      <c r="E30" s="795"/>
      <c r="F30" s="795"/>
      <c r="G30" s="795"/>
      <c r="H30" s="795"/>
      <c r="I30" s="795"/>
    </row>
    <row r="31" spans="1:12" ht="29.25" customHeight="1">
      <c r="A31" s="797" t="s">
        <v>280</v>
      </c>
      <c r="B31" s="797"/>
      <c r="C31" s="797"/>
      <c r="D31" s="797"/>
      <c r="E31" s="797"/>
      <c r="F31" s="797"/>
      <c r="G31" s="797"/>
      <c r="H31" s="797"/>
      <c r="I31" s="797"/>
    </row>
    <row r="32" spans="1:12" s="9" customFormat="1" ht="18" customHeight="1">
      <c r="A32" s="798" t="s">
        <v>287</v>
      </c>
      <c r="B32" s="798"/>
      <c r="C32" s="798"/>
      <c r="D32" s="798"/>
      <c r="E32" s="798"/>
      <c r="F32" s="798"/>
      <c r="G32" s="798"/>
      <c r="H32" s="798"/>
      <c r="I32" s="798"/>
    </row>
    <row r="33" spans="1:9" s="9" customFormat="1" ht="21.1" hidden="1" customHeight="1">
      <c r="A33" s="794" t="s">
        <v>650</v>
      </c>
      <c r="B33" s="794"/>
      <c r="C33" s="794"/>
      <c r="D33" s="794"/>
      <c r="E33" s="794"/>
      <c r="F33" s="794"/>
      <c r="G33" s="794"/>
      <c r="H33" s="794"/>
      <c r="I33" s="794"/>
    </row>
    <row r="34" spans="1:9" s="9" customFormat="1" ht="21.1" hidden="1" customHeight="1">
      <c r="A34" s="794" t="s">
        <v>649</v>
      </c>
      <c r="B34" s="794"/>
      <c r="C34" s="794"/>
      <c r="D34" s="794"/>
      <c r="E34" s="794"/>
      <c r="F34" s="794"/>
      <c r="G34" s="794"/>
      <c r="H34" s="794"/>
      <c r="I34" s="794"/>
    </row>
    <row r="35" spans="1:9" s="9" customFormat="1" ht="21.1" hidden="1" customHeight="1">
      <c r="A35" s="794" t="s">
        <v>644</v>
      </c>
      <c r="B35" s="794"/>
      <c r="C35" s="794"/>
      <c r="D35" s="794"/>
      <c r="E35" s="794"/>
      <c r="F35" s="794"/>
      <c r="G35" s="794"/>
      <c r="H35" s="794"/>
      <c r="I35" s="794"/>
    </row>
    <row r="36" spans="1:9" s="9" customFormat="1" ht="21.1" hidden="1" customHeight="1">
      <c r="A36" s="794" t="s">
        <v>645</v>
      </c>
      <c r="B36" s="794"/>
      <c r="C36" s="794"/>
      <c r="D36" s="794"/>
      <c r="E36" s="794"/>
      <c r="F36" s="794"/>
      <c r="G36" s="794"/>
      <c r="H36" s="794"/>
      <c r="I36" s="794"/>
    </row>
    <row r="37" spans="1:9" s="9" customFormat="1">
      <c r="A37" s="794"/>
      <c r="B37" s="794"/>
      <c r="C37" s="794"/>
      <c r="D37" s="794"/>
      <c r="E37" s="794"/>
      <c r="F37" s="794"/>
      <c r="G37" s="794"/>
      <c r="H37" s="794"/>
      <c r="I37" s="794"/>
    </row>
    <row r="38" spans="1:9" s="9" customFormat="1" ht="14.3" customHeight="1">
      <c r="A38" s="798" t="s">
        <v>639</v>
      </c>
      <c r="B38" s="798"/>
      <c r="C38" s="798"/>
      <c r="D38" s="798"/>
      <c r="E38" s="798"/>
      <c r="F38" s="798"/>
      <c r="G38" s="798"/>
      <c r="H38" s="798"/>
      <c r="I38" s="798"/>
    </row>
    <row r="39" spans="1:9" s="9" customFormat="1" ht="14.3" customHeight="1">
      <c r="A39" s="798"/>
      <c r="B39" s="798"/>
      <c r="C39" s="798"/>
      <c r="D39" s="798"/>
      <c r="E39" s="798"/>
      <c r="F39" s="798"/>
      <c r="G39" s="798"/>
      <c r="H39" s="798"/>
      <c r="I39" s="798"/>
    </row>
    <row r="40" spans="1:9" s="9" customFormat="1" ht="14.3" customHeight="1">
      <c r="A40" s="798"/>
      <c r="B40" s="798"/>
      <c r="C40" s="798"/>
      <c r="D40" s="798"/>
      <c r="E40" s="798"/>
      <c r="F40" s="798"/>
      <c r="G40" s="798"/>
      <c r="H40" s="798"/>
      <c r="I40" s="798"/>
    </row>
    <row r="41" spans="1:9" s="9" customFormat="1" ht="14.3" customHeight="1">
      <c r="A41" s="798"/>
      <c r="B41" s="798"/>
      <c r="C41" s="798"/>
      <c r="D41" s="798"/>
      <c r="E41" s="798"/>
      <c r="F41" s="798"/>
      <c r="G41" s="798"/>
      <c r="H41" s="798"/>
      <c r="I41" s="798"/>
    </row>
    <row r="42" spans="1:9" s="9" customFormat="1" ht="86.95" customHeight="1">
      <c r="A42" s="798" t="s">
        <v>641</v>
      </c>
      <c r="B42" s="798"/>
      <c r="C42" s="798"/>
      <c r="D42" s="798"/>
      <c r="E42" s="798"/>
      <c r="F42" s="798"/>
      <c r="G42" s="798"/>
      <c r="H42" s="798"/>
      <c r="I42" s="798"/>
    </row>
    <row r="43" spans="1:9" s="9" customFormat="1" ht="51.8" customHeight="1">
      <c r="A43" s="798" t="s">
        <v>640</v>
      </c>
      <c r="B43" s="798"/>
      <c r="C43" s="798"/>
      <c r="D43" s="798"/>
      <c r="E43" s="798"/>
      <c r="F43" s="798"/>
      <c r="G43" s="798"/>
      <c r="H43" s="798"/>
      <c r="I43" s="798"/>
    </row>
    <row r="44" spans="1:9" s="9" customFormat="1">
      <c r="A44" s="800"/>
      <c r="B44" s="800"/>
      <c r="C44" s="800"/>
      <c r="D44" s="800"/>
      <c r="E44" s="800"/>
      <c r="F44" s="800"/>
      <c r="G44" s="800"/>
      <c r="H44" s="800"/>
      <c r="I44" s="800"/>
    </row>
    <row r="45" spans="1:9" s="9" customFormat="1" ht="104.95" customHeight="1">
      <c r="A45" s="799" t="s">
        <v>288</v>
      </c>
      <c r="B45" s="799"/>
      <c r="C45" s="799"/>
      <c r="D45" s="799"/>
      <c r="E45" s="799"/>
      <c r="F45" s="799"/>
      <c r="G45" s="799"/>
      <c r="H45" s="799"/>
      <c r="I45" s="799"/>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sheetProtection password="C712" sheet="1" objects="1" scenarios="1"/>
  <mergeCells count="29">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 ref="A32:I32"/>
    <mergeCell ref="H4:I4"/>
    <mergeCell ref="A22:G22"/>
    <mergeCell ref="A23:I23"/>
    <mergeCell ref="A24:I24"/>
    <mergeCell ref="A25:I25"/>
    <mergeCell ref="A26:I26"/>
    <mergeCell ref="A2:G2"/>
    <mergeCell ref="A4:A6"/>
    <mergeCell ref="B4:B5"/>
    <mergeCell ref="C4:D4"/>
    <mergeCell ref="E4:E5"/>
    <mergeCell ref="F4:G4"/>
  </mergeCells>
  <printOptions horizontalCentered="1" verticalCentered="1"/>
  <pageMargins left="0.35433070866141736" right="0.19685039370078741" top="0.19685039370078741" bottom="0.19685039370078741" header="0" footer="0"/>
  <pageSetup scale="87" fitToHeight="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G45"/>
  <sheetViews>
    <sheetView zoomScale="85" zoomScaleNormal="85" workbookViewId="0">
      <selection activeCell="N11" sqref="N11"/>
    </sheetView>
  </sheetViews>
  <sheetFormatPr baseColWidth="10" defaultColWidth="9.875" defaultRowHeight="13.6"/>
  <cols>
    <col min="1" max="1" width="60.625" style="2" customWidth="1"/>
    <col min="2" max="2" width="22" style="2" customWidth="1"/>
    <col min="3" max="3" width="21" style="2" customWidth="1"/>
    <col min="4" max="4" width="20.25" style="2" customWidth="1"/>
    <col min="5" max="5" width="20.25" style="6" customWidth="1"/>
    <col min="6" max="6" width="9.875" style="6"/>
    <col min="7" max="11" width="0" style="6" hidden="1" customWidth="1"/>
    <col min="12" max="16384" width="9.875" style="6"/>
  </cols>
  <sheetData>
    <row r="1" spans="1:59" s="5" customFormat="1" ht="14.95" customHeight="1">
      <c r="A1" s="19"/>
      <c r="B1" s="19"/>
      <c r="C1" s="1"/>
      <c r="D1" s="20"/>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5" customFormat="1" ht="27.7" customHeight="1">
      <c r="A2" s="817" t="str">
        <f>CONCATENATE("ESTRUCTURAS DE PRECIOS PARA GASOLINA MOTOR CORRIENTE OXIGENADA VIGENTES A PARTIR DE ",'COMBUSTIBLES '!$A$1)</f>
        <v>ESTRUCTURAS DE PRECIOS PARA GASOLINA MOTOR CORRIENTE OXIGENADA VIGENTES A PARTIR DE 01 DE JUNIO 2021</v>
      </c>
      <c r="B2" s="818"/>
      <c r="C2" s="818"/>
      <c r="D2" s="818"/>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row>
    <row r="3" spans="1:59" s="55" customFormat="1" ht="27.7" customHeight="1">
      <c r="A3" s="819" t="s">
        <v>0</v>
      </c>
      <c r="B3" s="820"/>
      <c r="C3" s="820"/>
      <c r="D3" s="820"/>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row>
    <row r="4" spans="1:59" s="49" customFormat="1" ht="46.55" customHeight="1">
      <c r="A4" s="822" t="s">
        <v>1</v>
      </c>
      <c r="B4" s="821" t="s">
        <v>27</v>
      </c>
      <c r="C4" s="821" t="s">
        <v>575</v>
      </c>
      <c r="D4" s="409" t="s">
        <v>28</v>
      </c>
      <c r="E4" s="50"/>
      <c r="F4" s="56"/>
      <c r="G4" s="56"/>
      <c r="H4" s="56"/>
      <c r="I4" s="56"/>
      <c r="J4" s="56"/>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row>
    <row r="5" spans="1:59" s="49" customFormat="1" ht="19.55" customHeight="1">
      <c r="A5" s="806"/>
      <c r="B5" s="809"/>
      <c r="C5" s="809"/>
      <c r="D5" s="303">
        <v>0.04</v>
      </c>
      <c r="E5" s="50"/>
      <c r="F5" s="56"/>
      <c r="G5" s="56"/>
      <c r="H5" s="56"/>
      <c r="I5" s="56"/>
      <c r="J5" s="56"/>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row>
    <row r="6" spans="1:59" s="49" customFormat="1" ht="25.5" customHeight="1" thickBot="1">
      <c r="A6" s="807"/>
      <c r="B6" s="181" t="str">
        <f>+'COMBUSTIBLES '!B6</f>
        <v>01 DE JUNIO 2021</v>
      </c>
      <c r="C6" s="180" t="str">
        <f>'COMBUSTIBLES '!B6</f>
        <v>01 DE JUNIO 2021</v>
      </c>
      <c r="D6" s="180" t="str">
        <f>+C6</f>
        <v>01 DE JUNIO 2021</v>
      </c>
      <c r="E6" s="50"/>
      <c r="F6" s="56"/>
      <c r="G6" s="56"/>
      <c r="H6" s="56"/>
      <c r="I6" s="56"/>
      <c r="J6" s="56"/>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row>
    <row r="7" spans="1:59" s="5" customFormat="1" ht="31.6" customHeight="1" thickTop="1">
      <c r="A7" s="80" t="s">
        <v>3</v>
      </c>
      <c r="B7" s="611">
        <v>8847</v>
      </c>
      <c r="C7" s="611">
        <f>+'COMBUSTIBLES '!B7</f>
        <v>4719.72</v>
      </c>
      <c r="D7" s="406"/>
      <c r="E7" s="6"/>
      <c r="F7" s="56"/>
      <c r="G7" s="659" t="s">
        <v>696</v>
      </c>
      <c r="H7" s="56"/>
      <c r="I7" s="56"/>
      <c r="J7" s="5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6" customHeight="1">
      <c r="A8" s="74" t="s">
        <v>183</v>
      </c>
      <c r="B8" s="174"/>
      <c r="C8" s="67"/>
      <c r="D8" s="607">
        <f>ROUND($C$7*(1-D5),2)</f>
        <v>4530.93</v>
      </c>
      <c r="E8" s="6"/>
      <c r="F8" s="6"/>
      <c r="G8" s="659" t="s">
        <v>660</v>
      </c>
      <c r="H8" s="600"/>
      <c r="I8" s="600"/>
      <c r="J8" s="600"/>
      <c r="K8" s="600"/>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6" customHeight="1">
      <c r="A9" s="74" t="s">
        <v>182</v>
      </c>
      <c r="B9" s="174"/>
      <c r="C9" s="67"/>
      <c r="D9" s="610">
        <f>+ROUND(B7*D5,2)</f>
        <v>353.88</v>
      </c>
      <c r="E9" s="6"/>
      <c r="F9" s="6"/>
      <c r="G9" s="659" t="s">
        <v>661</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6" customHeight="1">
      <c r="A10" s="74" t="s">
        <v>49</v>
      </c>
      <c r="B10" s="174"/>
      <c r="C10" s="67"/>
      <c r="D10" s="607">
        <f>D8+D9</f>
        <v>4884.8100000000004</v>
      </c>
      <c r="E10" s="690"/>
      <c r="F10" s="6"/>
      <c r="G10" s="659" t="s">
        <v>661</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6" customHeight="1">
      <c r="A11" s="74" t="str">
        <f>+'COMBUSTIBLES '!A11</f>
        <v>Impuesto Nacional a la Gasolina y al ACPM</v>
      </c>
      <c r="B11" s="174"/>
      <c r="C11" s="121">
        <f>+Variables!C21</f>
        <v>555.04999999999995</v>
      </c>
      <c r="D11" s="610">
        <f>+C11*(1-D5)</f>
        <v>532.84799999999996</v>
      </c>
      <c r="E11" s="6"/>
      <c r="F11" s="6"/>
      <c r="G11" s="659" t="s">
        <v>661</v>
      </c>
      <c r="H11" s="6"/>
      <c r="I11" s="6"/>
      <c r="J11" s="6"/>
      <c r="K11" s="6"/>
      <c r="L11" s="6"/>
      <c r="M11" s="6"/>
      <c r="N11" s="6" t="s">
        <v>601</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6" customHeight="1">
      <c r="A12" s="74" t="str">
        <f>+'COMBUSTIBLES '!A12</f>
        <v>Impuesto sobre las Ventas</v>
      </c>
      <c r="B12" s="174"/>
      <c r="C12" s="428" t="str">
        <f>+'COMBUSTIBLES '!C12</f>
        <v>(3)</v>
      </c>
      <c r="D12" s="318"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6" customHeight="1">
      <c r="A13" s="74" t="str">
        <f>+'COMBUSTIBLES '!A13</f>
        <v>Impuesto al carbono</v>
      </c>
      <c r="B13" s="174"/>
      <c r="C13" s="121">
        <f>Variables!C46</f>
        <v>159</v>
      </c>
      <c r="D13" s="607">
        <f>ROUND(C13*(1-D5),2)</f>
        <v>152.63999999999999</v>
      </c>
      <c r="E13" s="6"/>
      <c r="F13" s="6" t="s">
        <v>159</v>
      </c>
      <c r="G13" s="659" t="s">
        <v>661</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6" customHeight="1">
      <c r="A14" s="74" t="s">
        <v>56</v>
      </c>
      <c r="B14" s="174"/>
      <c r="C14" s="121">
        <f>'COMBUSTIBLES '!B8</f>
        <v>8.3842000000000017</v>
      </c>
      <c r="D14" s="607">
        <f>+C14</f>
        <v>8.3842000000000017</v>
      </c>
      <c r="E14" s="6"/>
      <c r="F14" s="6"/>
      <c r="G14" s="659" t="s">
        <v>661</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6" customHeight="1">
      <c r="A15" s="74" t="s">
        <v>184</v>
      </c>
      <c r="B15" s="174"/>
      <c r="C15" s="67"/>
      <c r="D15" s="407"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6" customHeight="1">
      <c r="A16" s="74" t="s">
        <v>185</v>
      </c>
      <c r="B16" s="174"/>
      <c r="C16" s="76"/>
      <c r="D16" s="407"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6" hidden="1" customHeight="1">
      <c r="A17" s="74" t="s">
        <v>219</v>
      </c>
      <c r="B17" s="174"/>
      <c r="C17" s="67">
        <f>'COMBUSTIBLES '!B10</f>
        <v>0</v>
      </c>
      <c r="D17" s="608">
        <f>+C17</f>
        <v>0</v>
      </c>
      <c r="E17" s="6"/>
      <c r="F17" s="6"/>
      <c r="G17" s="659" t="s">
        <v>661</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6" customHeight="1">
      <c r="A18" s="74" t="s">
        <v>50</v>
      </c>
      <c r="B18" s="174"/>
      <c r="C18" s="67" t="s">
        <v>22</v>
      </c>
      <c r="D18" s="407"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6" customHeight="1">
      <c r="A19" s="74" t="s">
        <v>8</v>
      </c>
      <c r="B19" s="174"/>
      <c r="C19" s="67">
        <f>+ROUND('COMBUSTIBLES '!B16,2)</f>
        <v>1269.69</v>
      </c>
      <c r="D19" s="608">
        <f>+ROUND(C19*(1-D5),2)</f>
        <v>1218.9000000000001</v>
      </c>
      <c r="E19" s="6"/>
      <c r="F19" s="6"/>
      <c r="G19" s="659" t="s">
        <v>661</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6" customHeight="1">
      <c r="A20" s="74" t="s">
        <v>47</v>
      </c>
      <c r="B20" s="174"/>
      <c r="C20" s="121" t="s">
        <v>159</v>
      </c>
      <c r="D20" s="407" t="s">
        <v>222</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6" customHeight="1">
      <c r="A21" s="74" t="s">
        <v>62</v>
      </c>
      <c r="B21" s="174"/>
      <c r="C21" s="67" t="s">
        <v>159</v>
      </c>
      <c r="D21" s="407"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6" customHeight="1">
      <c r="A22" s="74" t="s">
        <v>48</v>
      </c>
      <c r="B22" s="174"/>
      <c r="C22" s="65" t="s">
        <v>159</v>
      </c>
      <c r="D22" s="407"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6" customHeight="1">
      <c r="A23" s="74" t="s">
        <v>60</v>
      </c>
      <c r="B23" s="174"/>
      <c r="C23" s="67" t="s">
        <v>159</v>
      </c>
      <c r="D23" s="407"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6" customHeight="1">
      <c r="A24" s="74" t="s">
        <v>226</v>
      </c>
      <c r="B24" s="174"/>
      <c r="C24" s="67" t="s">
        <v>159</v>
      </c>
      <c r="D24" s="407"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6" customHeight="1" thickBot="1">
      <c r="A25" s="77" t="s">
        <v>61</v>
      </c>
      <c r="B25" s="175"/>
      <c r="C25" s="78" t="s">
        <v>159</v>
      </c>
      <c r="D25" s="408"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3" customHeight="1" thickTop="1">
      <c r="A26" s="6"/>
      <c r="B26" s="6"/>
      <c r="C26" s="13"/>
      <c r="D26" s="21"/>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1" customFormat="1" ht="35.35" customHeight="1">
      <c r="A27" s="823" t="s">
        <v>252</v>
      </c>
      <c r="B27" s="823"/>
      <c r="C27" s="823"/>
      <c r="D27" s="823"/>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row>
    <row r="28" spans="1:59" s="320" customFormat="1" ht="8.35" customHeight="1">
      <c r="A28" s="702"/>
      <c r="B28" s="702"/>
      <c r="C28" s="702"/>
      <c r="D28" s="702"/>
    </row>
    <row r="29" spans="1:59" s="320" customFormat="1" ht="48.1" customHeight="1">
      <c r="A29" s="824" t="s">
        <v>253</v>
      </c>
      <c r="B29" s="824"/>
      <c r="C29" s="824"/>
      <c r="D29" s="824"/>
    </row>
    <row r="30" spans="1:59" s="320" customFormat="1">
      <c r="A30" s="703"/>
      <c r="B30" s="703"/>
      <c r="C30" s="704"/>
      <c r="D30" s="704"/>
    </row>
    <row r="31" spans="1:59" s="320" customFormat="1" ht="35.35" customHeight="1">
      <c r="A31" s="824" t="s">
        <v>223</v>
      </c>
      <c r="B31" s="824"/>
      <c r="C31" s="824"/>
      <c r="D31" s="824"/>
    </row>
    <row r="32" spans="1:59" s="320" customFormat="1">
      <c r="A32" s="703"/>
      <c r="B32" s="703"/>
      <c r="C32" s="704"/>
      <c r="D32" s="704"/>
    </row>
    <row r="33" spans="1:6" s="357" customFormat="1" ht="36.700000000000003" customHeight="1">
      <c r="A33" s="825" t="s">
        <v>224</v>
      </c>
      <c r="B33" s="825"/>
      <c r="C33" s="825"/>
      <c r="D33" s="825"/>
    </row>
    <row r="34" spans="1:6" s="320" customFormat="1" ht="9" customHeight="1">
      <c r="A34" s="703"/>
      <c r="B34" s="703"/>
      <c r="C34" s="704"/>
      <c r="D34" s="704"/>
    </row>
    <row r="35" spans="1:6" s="320" customFormat="1" ht="12.9">
      <c r="A35" s="824" t="s">
        <v>225</v>
      </c>
      <c r="B35" s="824"/>
      <c r="C35" s="824"/>
      <c r="D35" s="824"/>
    </row>
    <row r="36" spans="1:6" s="320" customFormat="1" ht="10.55" customHeight="1">
      <c r="A36" s="705"/>
      <c r="B36" s="705"/>
      <c r="C36" s="705"/>
      <c r="D36" s="705"/>
    </row>
    <row r="37" spans="1:6" s="320" customFormat="1" ht="30.75" customHeight="1">
      <c r="A37" s="816" t="s">
        <v>280</v>
      </c>
      <c r="B37" s="816"/>
      <c r="C37" s="816"/>
      <c r="D37" s="816"/>
    </row>
    <row r="38" spans="1:6" s="320" customFormat="1" ht="5.95" customHeight="1">
      <c r="A38" s="701"/>
      <c r="B38" s="701"/>
      <c r="C38" s="701"/>
      <c r="D38" s="701"/>
    </row>
    <row r="39" spans="1:6" s="320" customFormat="1" ht="12.75" customHeight="1">
      <c r="A39" s="815" t="s">
        <v>589</v>
      </c>
      <c r="B39" s="815"/>
      <c r="C39" s="815"/>
      <c r="D39" s="815"/>
      <c r="E39" s="706"/>
      <c r="F39" s="706"/>
    </row>
    <row r="40" spans="1:6" s="320" customFormat="1" ht="12.9">
      <c r="A40" s="815"/>
      <c r="B40" s="815"/>
      <c r="C40" s="815"/>
      <c r="D40" s="815"/>
      <c r="E40" s="706"/>
      <c r="F40" s="706"/>
    </row>
    <row r="41" spans="1:6">
      <c r="A41" s="815"/>
      <c r="B41" s="815"/>
      <c r="C41" s="815"/>
      <c r="D41" s="815"/>
      <c r="E41" s="706"/>
      <c r="F41" s="706"/>
    </row>
    <row r="42" spans="1:6">
      <c r="A42" s="815"/>
      <c r="B42" s="815"/>
      <c r="C42" s="815"/>
      <c r="D42" s="815"/>
      <c r="E42" s="706"/>
      <c r="F42" s="706"/>
    </row>
    <row r="43" spans="1:6">
      <c r="A43" s="815"/>
      <c r="B43" s="815"/>
      <c r="C43" s="815"/>
      <c r="D43" s="815"/>
      <c r="E43" s="700"/>
      <c r="F43" s="700"/>
    </row>
    <row r="44" spans="1:6">
      <c r="A44" s="700"/>
      <c r="B44" s="700"/>
      <c r="C44" s="700"/>
      <c r="D44" s="700"/>
      <c r="E44" s="700"/>
      <c r="F44" s="700"/>
    </row>
    <row r="45" spans="1:6" ht="98.35" customHeight="1">
      <c r="A45" s="799" t="s">
        <v>288</v>
      </c>
      <c r="B45" s="799"/>
      <c r="C45" s="799"/>
      <c r="D45" s="799"/>
    </row>
  </sheetData>
  <sheetProtection password="C71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6"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showGridLines="0" zoomScale="70" zoomScaleNormal="70" workbookViewId="0">
      <selection activeCell="K17" sqref="K17"/>
    </sheetView>
  </sheetViews>
  <sheetFormatPr baseColWidth="10" defaultRowHeight="12.9"/>
  <cols>
    <col min="1" max="1" width="53.375" customWidth="1"/>
    <col min="2" max="2" width="20.875" customWidth="1"/>
    <col min="3" max="3" width="23.875" customWidth="1"/>
    <col min="4" max="4" width="21.75" customWidth="1"/>
    <col min="5" max="5" width="21.25" customWidth="1"/>
    <col min="6" max="6" width="23" customWidth="1"/>
    <col min="7" max="7" width="18" customWidth="1"/>
    <col min="8" max="8" width="0" hidden="1" customWidth="1"/>
  </cols>
  <sheetData>
    <row r="2" spans="1:11" ht="16.3">
      <c r="A2" s="826" t="str">
        <f>CONCATENATE("ESTRUCTURAS DE PRECIOS PARA GASOLINA EXTRA OXIGENADA VIGENTES A PARTIR DE ",'COMBUSTIBLES '!$A$1)</f>
        <v>ESTRUCTURAS DE PRECIOS PARA GASOLINA EXTRA OXIGENADA VIGENTES A PARTIR DE 01 DE JUNIO 2021</v>
      </c>
      <c r="B2" s="827"/>
      <c r="C2" s="827"/>
      <c r="D2" s="827"/>
      <c r="E2" s="827"/>
      <c r="F2" s="827"/>
    </row>
    <row r="3" spans="1:11" ht="16.3">
      <c r="A3" s="828" t="s">
        <v>0</v>
      </c>
      <c r="B3" s="829"/>
      <c r="C3" s="829"/>
      <c r="D3" s="829"/>
      <c r="E3" s="829"/>
      <c r="F3" s="829"/>
    </row>
    <row r="4" spans="1:11" ht="28.55">
      <c r="A4" s="822" t="s">
        <v>1</v>
      </c>
      <c r="B4" s="821" t="s">
        <v>27</v>
      </c>
      <c r="C4" s="821" t="s">
        <v>603</v>
      </c>
      <c r="D4" s="536" t="s">
        <v>29</v>
      </c>
      <c r="E4" s="830" t="s">
        <v>604</v>
      </c>
      <c r="F4" s="542" t="s">
        <v>29</v>
      </c>
      <c r="H4" s="400"/>
    </row>
    <row r="5" spans="1:11" ht="14.3">
      <c r="A5" s="806"/>
      <c r="B5" s="809"/>
      <c r="C5" s="809"/>
      <c r="D5" s="537">
        <v>0.04</v>
      </c>
      <c r="E5" s="831"/>
      <c r="F5" s="543">
        <v>0.04</v>
      </c>
    </row>
    <row r="6" spans="1:11" ht="30.1" customHeight="1" thickBot="1">
      <c r="A6" s="807"/>
      <c r="B6" s="72" t="str">
        <f>+'GASOLINA CORRIENTE OXIGENADA'!B6</f>
        <v>01 DE JUNIO 2021</v>
      </c>
      <c r="C6" s="72" t="str">
        <f>+B6</f>
        <v>01 DE JUNIO 2021</v>
      </c>
      <c r="D6" s="72" t="str">
        <f>+C6</f>
        <v>01 DE JUNIO 2021</v>
      </c>
      <c r="E6" s="72" t="str">
        <f>+B6</f>
        <v>01 DE JUNIO 2021</v>
      </c>
      <c r="F6" s="73" t="str">
        <f>+B6</f>
        <v>01 DE JUNIO 2021</v>
      </c>
    </row>
    <row r="7" spans="1:11" ht="23.3" customHeight="1" thickTop="1">
      <c r="A7" s="71" t="s">
        <v>3</v>
      </c>
      <c r="B7" s="94">
        <f>+'GASOLINA CORRIENTE OXIGENADA'!B7</f>
        <v>8847</v>
      </c>
      <c r="C7" s="94">
        <f>+'COMBUSTIBLES '!C7</f>
        <v>6970</v>
      </c>
      <c r="D7" s="716">
        <f>+ROUND((C7*(1-D5))+($B$7*D5),2)</f>
        <v>7045.08</v>
      </c>
      <c r="E7" s="722">
        <f>+'COMBUSTIBLES '!D7</f>
        <v>6970</v>
      </c>
      <c r="F7" s="550">
        <f>+ROUND((E7*(1-F5))+($B$7*F5),2)</f>
        <v>7045.08</v>
      </c>
      <c r="G7" s="711"/>
      <c r="H7" s="596" t="s">
        <v>656</v>
      </c>
      <c r="K7" s="400"/>
    </row>
    <row r="8" spans="1:11" ht="23.3" customHeight="1">
      <c r="A8" s="63" t="s">
        <v>26</v>
      </c>
      <c r="B8" s="65"/>
      <c r="C8" s="65">
        <f>+'COMBUSTIBLES '!C8</f>
        <v>8.3842000000000017</v>
      </c>
      <c r="D8" s="518">
        <f>+C8</f>
        <v>8.3842000000000017</v>
      </c>
      <c r="E8" s="518">
        <f>+'COMBUSTIBLES '!E8</f>
        <v>8.3842000000000017</v>
      </c>
      <c r="F8" s="70">
        <f>+E8</f>
        <v>8.3842000000000017</v>
      </c>
      <c r="H8" s="680" t="s">
        <v>713</v>
      </c>
    </row>
    <row r="9" spans="1:11" ht="23.3" customHeight="1">
      <c r="A9" s="63" t="s">
        <v>229</v>
      </c>
      <c r="B9" s="67"/>
      <c r="C9" s="67" t="s">
        <v>11</v>
      </c>
      <c r="D9" s="538" t="s">
        <v>11</v>
      </c>
      <c r="E9" s="538" t="s">
        <v>11</v>
      </c>
      <c r="F9" s="75" t="s">
        <v>11</v>
      </c>
    </row>
    <row r="10" spans="1:11" ht="23.95" hidden="1" customHeight="1">
      <c r="A10" s="63" t="s">
        <v>227</v>
      </c>
      <c r="B10" s="67"/>
      <c r="C10" s="67">
        <f>+'COMBUSTIBLES '!C10</f>
        <v>0</v>
      </c>
      <c r="D10" s="538">
        <f>+C10</f>
        <v>0</v>
      </c>
      <c r="E10" s="538">
        <f>+'COMBUSTIBLES '!D10</f>
        <v>0</v>
      </c>
      <c r="F10" s="75">
        <f>+E10</f>
        <v>0</v>
      </c>
    </row>
    <row r="11" spans="1:11" ht="23.3" customHeight="1">
      <c r="A11" s="63" t="s">
        <v>259</v>
      </c>
      <c r="B11" s="65"/>
      <c r="C11" s="65">
        <f>+'COMBUSTIBLES '!C11</f>
        <v>1053.47</v>
      </c>
      <c r="D11" s="518">
        <f>+ROUND(+C11*(1-D5),2)</f>
        <v>1011.33</v>
      </c>
      <c r="E11" s="65">
        <f>+'COMBUSTIBLES '!D11</f>
        <v>1053.47</v>
      </c>
      <c r="F11" s="545">
        <f>+ROUND(+E11*(1-F5),2)</f>
        <v>1011.33</v>
      </c>
    </row>
    <row r="12" spans="1:11" ht="23.3" customHeight="1">
      <c r="A12" s="63" t="s">
        <v>268</v>
      </c>
      <c r="B12" s="65"/>
      <c r="C12" s="416" t="s">
        <v>332</v>
      </c>
      <c r="D12" s="516" t="s">
        <v>332</v>
      </c>
      <c r="E12" s="416" t="s">
        <v>332</v>
      </c>
      <c r="F12" s="546" t="s">
        <v>332</v>
      </c>
    </row>
    <row r="13" spans="1:11" ht="23.3" customHeight="1">
      <c r="A13" s="63" t="s">
        <v>311</v>
      </c>
      <c r="B13" s="65"/>
      <c r="C13" s="65">
        <f>+'COMBUSTIBLES '!C13</f>
        <v>159</v>
      </c>
      <c r="D13" s="518">
        <f>+ROUND(+C13*(1-D5),2)</f>
        <v>152.63999999999999</v>
      </c>
      <c r="E13" s="65">
        <f>+'COMBUSTIBLES '!D13</f>
        <v>159</v>
      </c>
      <c r="F13" s="545">
        <f>+ROUND(+E13*(1-F5),2)</f>
        <v>152.63999999999999</v>
      </c>
    </row>
    <row r="14" spans="1:11" ht="23.3" customHeight="1">
      <c r="A14" s="63" t="s">
        <v>254</v>
      </c>
      <c r="B14" s="67"/>
      <c r="C14" s="67" t="s">
        <v>12</v>
      </c>
      <c r="D14" s="538" t="s">
        <v>12</v>
      </c>
      <c r="E14" s="67" t="s">
        <v>12</v>
      </c>
      <c r="F14" s="547" t="s">
        <v>12</v>
      </c>
    </row>
    <row r="15" spans="1:11" ht="23.3" customHeight="1">
      <c r="A15" s="63" t="s">
        <v>4</v>
      </c>
      <c r="B15" s="65"/>
      <c r="C15" s="93"/>
      <c r="D15" s="539"/>
      <c r="E15" s="93"/>
      <c r="F15" s="548"/>
    </row>
    <row r="16" spans="1:11" ht="23.3" customHeight="1">
      <c r="A16" s="63" t="s">
        <v>8</v>
      </c>
      <c r="B16" s="65"/>
      <c r="C16" s="65">
        <f>+'COMBUSTIBLES '!C16</f>
        <v>1776.95</v>
      </c>
      <c r="D16" s="518">
        <f>+ROUND(+C16*(1-D5),2)</f>
        <v>1705.87</v>
      </c>
      <c r="E16" s="65">
        <f>+'COMBUSTIBLES '!D16</f>
        <v>1776.95</v>
      </c>
      <c r="F16" s="545">
        <f>+ROUND(+E16*(1-F5),2)</f>
        <v>1705.87</v>
      </c>
    </row>
    <row r="17" spans="1:6" ht="23.3" customHeight="1">
      <c r="A17" s="63" t="s">
        <v>5</v>
      </c>
      <c r="B17" s="66"/>
      <c r="C17" s="66"/>
      <c r="D17" s="540"/>
      <c r="E17" s="66"/>
      <c r="F17" s="549"/>
    </row>
    <row r="18" spans="1:6" ht="23.3" customHeight="1">
      <c r="A18" s="63" t="s">
        <v>6</v>
      </c>
      <c r="B18" s="65"/>
      <c r="C18" s="93"/>
      <c r="D18" s="539"/>
      <c r="E18" s="93"/>
      <c r="F18" s="319"/>
    </row>
    <row r="19" spans="1:6" ht="23.3" customHeight="1">
      <c r="A19" s="63" t="s">
        <v>7</v>
      </c>
      <c r="B19" s="65"/>
      <c r="C19" s="65"/>
      <c r="D19" s="518"/>
      <c r="E19" s="65"/>
      <c r="F19" s="70"/>
    </row>
    <row r="20" spans="1:6" ht="23.3" customHeight="1">
      <c r="A20" s="63" t="s">
        <v>226</v>
      </c>
      <c r="B20" s="65"/>
      <c r="C20" s="65"/>
      <c r="D20" s="518"/>
      <c r="E20" s="65"/>
      <c r="F20" s="70"/>
    </row>
    <row r="21" spans="1:6" ht="23.3" customHeight="1" thickBot="1">
      <c r="A21" s="68" t="s">
        <v>9</v>
      </c>
      <c r="B21" s="78"/>
      <c r="C21" s="78" t="s">
        <v>12</v>
      </c>
      <c r="D21" s="541" t="s">
        <v>12</v>
      </c>
      <c r="E21" s="78" t="s">
        <v>12</v>
      </c>
      <c r="F21" s="79" t="s">
        <v>12</v>
      </c>
    </row>
    <row r="22" spans="1:6" ht="14.95" thickTop="1">
      <c r="A22" s="12"/>
      <c r="B22" s="13"/>
      <c r="C22" s="13"/>
      <c r="D22" s="13"/>
      <c r="E22" s="13"/>
      <c r="F22" s="13"/>
    </row>
    <row r="23" spans="1:6" ht="26.35" customHeight="1">
      <c r="A23" s="815" t="s">
        <v>215</v>
      </c>
      <c r="B23" s="815"/>
      <c r="C23" s="815"/>
      <c r="D23" s="815"/>
      <c r="E23" s="6"/>
      <c r="F23" s="6"/>
    </row>
    <row r="24" spans="1:6">
      <c r="A24" s="691"/>
      <c r="B24" s="691"/>
      <c r="C24" s="691"/>
      <c r="D24" s="691"/>
      <c r="E24" s="691"/>
      <c r="F24" s="544"/>
    </row>
    <row r="25" spans="1:6" ht="26.35" customHeight="1">
      <c r="A25" s="833" t="s">
        <v>228</v>
      </c>
      <c r="B25" s="833"/>
      <c r="C25" s="833"/>
      <c r="D25" s="833"/>
      <c r="E25" s="833"/>
      <c r="F25" s="6"/>
    </row>
    <row r="26" spans="1:6">
      <c r="A26" s="691"/>
      <c r="B26" s="691"/>
      <c r="C26" s="691"/>
      <c r="D26" s="691"/>
      <c r="E26" s="691"/>
      <c r="F26" s="544"/>
    </row>
    <row r="27" spans="1:6" ht="14.3" hidden="1" customHeight="1">
      <c r="A27" s="832" t="s">
        <v>280</v>
      </c>
      <c r="B27" s="832"/>
      <c r="C27" s="832"/>
      <c r="D27" s="832"/>
      <c r="E27" s="832"/>
      <c r="F27" s="6"/>
    </row>
    <row r="28" spans="1:6" ht="14.3" customHeight="1">
      <c r="A28" s="833" t="s">
        <v>725</v>
      </c>
      <c r="B28" s="833"/>
      <c r="C28" s="833"/>
      <c r="D28" s="833"/>
      <c r="E28" s="833"/>
      <c r="F28" s="833"/>
    </row>
    <row r="29" spans="1:6" ht="14.3" customHeight="1">
      <c r="A29" s="833"/>
      <c r="B29" s="833"/>
      <c r="C29" s="833"/>
      <c r="D29" s="833"/>
      <c r="E29" s="833"/>
      <c r="F29" s="833"/>
    </row>
    <row r="30" spans="1:6" ht="14.3" customHeight="1">
      <c r="A30" s="833"/>
      <c r="B30" s="833"/>
      <c r="C30" s="833"/>
      <c r="D30" s="833"/>
      <c r="E30" s="833"/>
      <c r="F30" s="833"/>
    </row>
    <row r="31" spans="1:6" ht="14.3" customHeight="1">
      <c r="A31" s="833"/>
      <c r="B31" s="833"/>
      <c r="C31" s="833"/>
      <c r="D31" s="833"/>
      <c r="E31" s="833"/>
      <c r="F31" s="833"/>
    </row>
    <row r="32" spans="1:6" ht="14.3" customHeight="1">
      <c r="A32" s="833"/>
      <c r="B32" s="833"/>
      <c r="C32" s="833"/>
      <c r="D32" s="833"/>
      <c r="E32" s="833"/>
      <c r="F32" s="833"/>
    </row>
    <row r="33" spans="1:6" ht="19.55" customHeight="1">
      <c r="A33" s="691"/>
      <c r="B33" s="691"/>
      <c r="C33" s="691"/>
      <c r="D33" s="691"/>
      <c r="E33" s="691"/>
      <c r="F33" s="544"/>
    </row>
    <row r="34" spans="1:6" ht="138.1" customHeight="1">
      <c r="A34" s="799" t="s">
        <v>288</v>
      </c>
      <c r="B34" s="799"/>
      <c r="C34" s="799"/>
      <c r="D34" s="799"/>
      <c r="E34" s="6"/>
      <c r="F34" s="6"/>
    </row>
  </sheetData>
  <sheetProtection password="C712" sheet="1" objects="1" scenarios="1"/>
  <mergeCells count="11">
    <mergeCell ref="A23:D23"/>
    <mergeCell ref="A34:D34"/>
    <mergeCell ref="A27:E27"/>
    <mergeCell ref="A25:E25"/>
    <mergeCell ref="A28:F32"/>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X45"/>
  <sheetViews>
    <sheetView showGridLines="0" zoomScale="70" zoomScaleNormal="70" workbookViewId="0">
      <selection activeCell="T12" sqref="T12"/>
    </sheetView>
  </sheetViews>
  <sheetFormatPr baseColWidth="10" defaultColWidth="9.875" defaultRowHeight="13.6"/>
  <cols>
    <col min="1" max="1" width="58.75" style="14" customWidth="1"/>
    <col min="2" max="2" width="21.375" style="6" customWidth="1"/>
    <col min="3" max="3" width="19.75" style="6" customWidth="1"/>
    <col min="4" max="4" width="23.75" style="6" customWidth="1"/>
    <col min="5" max="5" width="23.375" style="6" customWidth="1"/>
    <col min="6" max="6" width="6.125" style="6" hidden="1" customWidth="1"/>
    <col min="7" max="7" width="23.125" style="6" customWidth="1"/>
    <col min="8" max="8" width="15.875" style="6" customWidth="1"/>
    <col min="9" max="10" width="17.875" style="6" hidden="1" customWidth="1"/>
    <col min="11" max="11" width="16.25" style="6" hidden="1" customWidth="1"/>
    <col min="12" max="13" width="9.875" style="6" hidden="1" customWidth="1"/>
    <col min="14" max="14" width="17.625" style="6" hidden="1" customWidth="1"/>
    <col min="15" max="15" width="9.875" style="6" hidden="1" customWidth="1"/>
    <col min="16" max="16" width="20.125" style="6" hidden="1" customWidth="1"/>
    <col min="17" max="76" width="9.875" style="6" customWidth="1"/>
    <col min="77" max="16384" width="9.875" style="6"/>
  </cols>
  <sheetData>
    <row r="1" spans="1:76" s="54" customFormat="1" ht="14.95" thickBot="1">
      <c r="A1" s="53"/>
    </row>
    <row r="2" spans="1:76" s="49" customFormat="1" ht="42.8" customHeight="1" thickTop="1">
      <c r="A2" s="835" t="str">
        <f>CONCATENATE("ESTRUCTURAS DE PRECIOS PARA LA MEZCLA DE BIOCOMBUSTIBLE PARA USO EN MOTORES DIESEL CON EL ACPM VIGENTES A PARTIR DE ",'COMBUSTIBLES '!$A$1)</f>
        <v>ESTRUCTURAS DE PRECIOS PARA LA MEZCLA DE BIOCOMBUSTIBLE PARA USO EN MOTORES DIESEL CON EL ACPM VIGENTES A PARTIR DE 01 DE JUNIO 2021</v>
      </c>
      <c r="B2" s="836"/>
      <c r="C2" s="836"/>
      <c r="D2" s="836"/>
      <c r="E2" s="836"/>
      <c r="F2" s="836"/>
      <c r="G2" s="836"/>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row>
    <row r="3" spans="1:76" s="49" customFormat="1" ht="19.55" customHeight="1">
      <c r="A3" s="837" t="s">
        <v>0</v>
      </c>
      <c r="B3" s="838"/>
      <c r="C3" s="838"/>
      <c r="D3" s="838"/>
      <c r="E3" s="838"/>
      <c r="F3" s="838"/>
      <c r="G3" s="838"/>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row>
    <row r="4" spans="1:76" s="5" customFormat="1" ht="56.25" customHeight="1">
      <c r="A4" s="839" t="s">
        <v>1</v>
      </c>
      <c r="B4" s="83" t="s">
        <v>164</v>
      </c>
      <c r="C4" s="842" t="s">
        <v>627</v>
      </c>
      <c r="D4" s="842" t="s">
        <v>64</v>
      </c>
      <c r="E4" s="84" t="s">
        <v>590</v>
      </c>
      <c r="F4" s="84" t="s">
        <v>266</v>
      </c>
      <c r="G4" s="84" t="s">
        <v>719</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40"/>
      <c r="B5" s="85">
        <v>1</v>
      </c>
      <c r="C5" s="843"/>
      <c r="D5" s="843"/>
      <c r="E5" s="86">
        <v>0.02</v>
      </c>
      <c r="F5" s="86">
        <v>0.04</v>
      </c>
      <c r="G5" s="86">
        <v>0.12</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35" customHeight="1" thickBot="1">
      <c r="A6" s="841"/>
      <c r="B6" s="176" t="str">
        <f>+'COMBUSTIBLES '!A1</f>
        <v>01 DE JUNIO 2021</v>
      </c>
      <c r="C6" s="176" t="str">
        <f>+B6</f>
        <v>01 DE JUNIO 2021</v>
      </c>
      <c r="D6" s="176" t="str">
        <f>+C6</f>
        <v>01 DE JUNIO 2021</v>
      </c>
      <c r="E6" s="177" t="str">
        <f>+B6</f>
        <v>01 DE JUNIO 2021</v>
      </c>
      <c r="F6" s="177" t="str">
        <f>+B6</f>
        <v>01 DE JUNIO 2021</v>
      </c>
      <c r="G6" s="177" t="str">
        <f>+B6</f>
        <v>01 DE JUNIO 2021</v>
      </c>
      <c r="H6" s="6"/>
      <c r="I6" s="719"/>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6" customFormat="1" ht="31.6" customHeight="1" thickTop="1">
      <c r="A7" s="123" t="s">
        <v>3</v>
      </c>
      <c r="B7" s="612">
        <v>16080.62</v>
      </c>
      <c r="C7" s="612">
        <f>+'COMBUSTIBLES '!E7</f>
        <v>4321.3500000000004</v>
      </c>
      <c r="D7" s="402">
        <f>+C7</f>
        <v>4321.3500000000004</v>
      </c>
      <c r="E7" s="124"/>
      <c r="F7" s="124"/>
      <c r="G7" s="124"/>
      <c r="I7" s="132"/>
      <c r="J7" s="597" t="s">
        <v>657</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row>
    <row r="8" spans="1:76" s="126" customFormat="1" ht="31.6" customHeight="1">
      <c r="A8" s="127" t="s">
        <v>63</v>
      </c>
      <c r="B8" s="130"/>
      <c r="C8" s="88"/>
      <c r="D8" s="88"/>
      <c r="E8" s="87">
        <f>+ROUND(C7*(1-E5), 2)</f>
        <v>4234.92</v>
      </c>
      <c r="F8" s="87">
        <f>+ROUND(C7*(1-F5), 2)</f>
        <v>4148.5</v>
      </c>
      <c r="G8" s="87">
        <f>+ROUND(+C7*(1-G5),3)</f>
        <v>3802.788</v>
      </c>
      <c r="I8" s="666" t="s">
        <v>662</v>
      </c>
      <c r="J8" s="125"/>
      <c r="K8" s="125"/>
      <c r="L8" s="125"/>
      <c r="M8" s="125"/>
      <c r="N8" s="125" t="s">
        <v>663</v>
      </c>
      <c r="O8" s="125"/>
      <c r="P8" s="125" t="s">
        <v>664</v>
      </c>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row>
    <row r="9" spans="1:76" s="126" customFormat="1" ht="31.6" customHeight="1">
      <c r="A9" s="127" t="s">
        <v>191</v>
      </c>
      <c r="B9" s="89"/>
      <c r="C9" s="89"/>
      <c r="D9" s="89"/>
      <c r="E9" s="87">
        <f>+ROUND($B$7*E5,2)</f>
        <v>321.61</v>
      </c>
      <c r="F9" s="87">
        <f>+ROUND($B$7*F5,2)</f>
        <v>643.22</v>
      </c>
      <c r="G9" s="87">
        <f>+ROUND($B$7*G5,3)</f>
        <v>1929.674</v>
      </c>
      <c r="I9" s="666" t="s">
        <v>661</v>
      </c>
      <c r="J9" s="590"/>
      <c r="K9" s="125"/>
      <c r="L9" s="125"/>
      <c r="M9" s="125"/>
      <c r="N9" s="125" t="s">
        <v>659</v>
      </c>
      <c r="O9" s="125"/>
      <c r="P9" s="125" t="s">
        <v>659</v>
      </c>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row>
    <row r="10" spans="1:76" s="126" customFormat="1" ht="31.6" customHeight="1">
      <c r="A10" s="127" t="s">
        <v>605</v>
      </c>
      <c r="B10" s="89"/>
      <c r="C10" s="89"/>
      <c r="D10" s="89"/>
      <c r="E10" s="87">
        <f>+E9+E8</f>
        <v>4556.53</v>
      </c>
      <c r="F10" s="87">
        <f>+F9+F8</f>
        <v>4791.72</v>
      </c>
      <c r="G10" s="87">
        <f>+G9+G8</f>
        <v>5732.4619999999995</v>
      </c>
      <c r="I10" s="666" t="s">
        <v>661</v>
      </c>
      <c r="J10" s="598" t="s">
        <v>658</v>
      </c>
      <c r="K10" s="125"/>
      <c r="L10" s="125"/>
      <c r="M10" s="125"/>
      <c r="N10" s="713">
        <f>+B7*0.02+C7*0.98</f>
        <v>4556.5354000000007</v>
      </c>
      <c r="O10" s="125"/>
      <c r="P10" s="599">
        <f>+B7*0.1+C7*0.9</f>
        <v>5497.277000000001</v>
      </c>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row>
    <row r="11" spans="1:76" s="126" customFormat="1" ht="31.6" customHeight="1">
      <c r="A11" s="127" t="str">
        <f>+'COMBUSTIBLES '!A11</f>
        <v>Impuesto Nacional a la Gasolina y al ACPM</v>
      </c>
      <c r="B11" s="89"/>
      <c r="C11" s="89">
        <f>+Variables!C31</f>
        <v>531.27</v>
      </c>
      <c r="D11" s="89">
        <f>+Variables!C30</f>
        <v>531.27</v>
      </c>
      <c r="E11" s="87">
        <f>+ROUND($C$11*(1-E5),2)</f>
        <v>520.64</v>
      </c>
      <c r="F11" s="87">
        <f>+ROUND($C$11*(1-F5),2)</f>
        <v>510.02</v>
      </c>
      <c r="G11" s="87">
        <f>+ROUND($D$11*(1-G5),2)</f>
        <v>467.52</v>
      </c>
      <c r="I11" s="666" t="s">
        <v>661</v>
      </c>
      <c r="J11" s="692" t="s">
        <v>714</v>
      </c>
      <c r="K11" s="125"/>
      <c r="L11" s="125"/>
      <c r="M11" s="125"/>
      <c r="N11" s="132">
        <f>4395.83*0.98+0.02*14198.27</f>
        <v>4591.8787999999995</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row>
    <row r="12" spans="1:76" s="126" customFormat="1" ht="31.6" customHeight="1">
      <c r="A12" s="127" t="str">
        <f>+'COMBUSTIBLES '!A12</f>
        <v>Impuesto sobre las Ventas</v>
      </c>
      <c r="B12" s="89"/>
      <c r="C12" s="89" t="str">
        <f>+'COMBUSTIBLES '!C12</f>
        <v>(3)</v>
      </c>
      <c r="D12" s="89" t="str">
        <f>+C12</f>
        <v>(3)</v>
      </c>
      <c r="E12" s="87" t="str">
        <f>+D12</f>
        <v>(3)</v>
      </c>
      <c r="F12" s="87" t="str">
        <f>+E12</f>
        <v>(3)</v>
      </c>
      <c r="G12" s="87" t="str">
        <f>+E12</f>
        <v>(3)</v>
      </c>
      <c r="I12" s="125"/>
      <c r="J12" s="125"/>
      <c r="K12" s="125"/>
      <c r="L12" s="125"/>
      <c r="M12" s="125"/>
      <c r="N12" s="125">
        <f>14749.57*0.02+4469.83*0.98</f>
        <v>4675.4247999999998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row>
    <row r="13" spans="1:76" s="126" customFormat="1" ht="31.6" customHeight="1">
      <c r="A13" s="127" t="str">
        <f>+'COMBUSTIBLES '!A13</f>
        <v>Impuesto al carbono</v>
      </c>
      <c r="B13" s="89"/>
      <c r="C13" s="89">
        <f>Variables!C47</f>
        <v>179</v>
      </c>
      <c r="D13" s="89">
        <f>C13</f>
        <v>179</v>
      </c>
      <c r="E13" s="87">
        <f>ROUND(D13*(1-E5),2)</f>
        <v>175.42</v>
      </c>
      <c r="F13" s="87">
        <f>ROUND(D13*(1-F5),2)</f>
        <v>171.84</v>
      </c>
      <c r="G13" s="87">
        <f>ROUND(D13*(1-G5),2)</f>
        <v>157.52000000000001</v>
      </c>
      <c r="I13" s="666" t="s">
        <v>661</v>
      </c>
      <c r="J13" s="486"/>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row>
    <row r="14" spans="1:76" s="126" customFormat="1" ht="31.6" customHeight="1">
      <c r="A14" s="127" t="s">
        <v>56</v>
      </c>
      <c r="B14" s="89"/>
      <c r="C14" s="405">
        <f>+'COMBUSTIBLES '!E8</f>
        <v>8.3842000000000017</v>
      </c>
      <c r="D14" s="405">
        <f t="shared" ref="D14:F15" si="0">+C14</f>
        <v>8.3842000000000017</v>
      </c>
      <c r="E14" s="87">
        <f t="shared" si="0"/>
        <v>8.3842000000000017</v>
      </c>
      <c r="F14" s="87">
        <f t="shared" si="0"/>
        <v>8.3842000000000017</v>
      </c>
      <c r="G14" s="87">
        <f>+C14</f>
        <v>8.3842000000000017</v>
      </c>
      <c r="I14" s="666" t="s">
        <v>661</v>
      </c>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row>
    <row r="15" spans="1:76" s="126" customFormat="1" ht="31.6" customHeight="1">
      <c r="A15" s="127" t="s">
        <v>230</v>
      </c>
      <c r="B15" s="89"/>
      <c r="C15" s="89" t="s">
        <v>11</v>
      </c>
      <c r="D15" s="89" t="str">
        <f t="shared" si="0"/>
        <v>(*)</v>
      </c>
      <c r="E15" s="87" t="str">
        <f t="shared" si="0"/>
        <v>(*)</v>
      </c>
      <c r="F15" s="87" t="str">
        <f t="shared" si="0"/>
        <v>(*)</v>
      </c>
      <c r="G15" s="87" t="str">
        <f>+D15</f>
        <v>(*)</v>
      </c>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row>
    <row r="16" spans="1:76" s="126" customFormat="1" ht="31.6" customHeight="1">
      <c r="A16" s="127" t="s">
        <v>231</v>
      </c>
      <c r="B16" s="89" t="s">
        <v>159</v>
      </c>
      <c r="C16" s="89"/>
      <c r="D16" s="89"/>
      <c r="E16" s="87" t="s">
        <v>12</v>
      </c>
      <c r="F16" s="87" t="str">
        <f>+E16</f>
        <v>(**)</v>
      </c>
      <c r="G16" s="87" t="str">
        <f>+E16</f>
        <v>(**)</v>
      </c>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row>
    <row r="17" spans="1:76" s="126" customFormat="1" ht="31.6" hidden="1" customHeight="1">
      <c r="A17" s="74" t="s">
        <v>219</v>
      </c>
      <c r="B17" s="89"/>
      <c r="C17" s="89">
        <f>'COMBUSTIBLES '!E10</f>
        <v>0</v>
      </c>
      <c r="D17" s="89">
        <f>+C17</f>
        <v>0</v>
      </c>
      <c r="E17" s="87">
        <f>+C17</f>
        <v>0</v>
      </c>
      <c r="F17" s="87">
        <f>+D17</f>
        <v>0</v>
      </c>
      <c r="G17" s="87">
        <f>+E17</f>
        <v>0</v>
      </c>
      <c r="I17" s="666" t="s">
        <v>661</v>
      </c>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row>
    <row r="18" spans="1:76" s="126" customFormat="1" ht="31.6" customHeight="1">
      <c r="A18" s="127" t="s">
        <v>50</v>
      </c>
      <c r="B18" s="89"/>
      <c r="C18" s="89"/>
      <c r="D18" s="89"/>
      <c r="E18" s="87"/>
      <c r="F18" s="87"/>
      <c r="G18" s="87"/>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76" s="126" customFormat="1" ht="31.6" customHeight="1">
      <c r="A19" s="127" t="s">
        <v>47</v>
      </c>
      <c r="B19" s="128"/>
      <c r="C19" s="129"/>
      <c r="D19" s="129"/>
      <c r="E19" s="122" t="s">
        <v>159</v>
      </c>
      <c r="F19" s="122"/>
      <c r="G19" s="399" t="s">
        <v>222</v>
      </c>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row>
    <row r="20" spans="1:76" s="126" customFormat="1" ht="31.6" customHeight="1">
      <c r="A20" s="127" t="s">
        <v>62</v>
      </c>
      <c r="B20" s="128"/>
      <c r="C20" s="128"/>
      <c r="D20" s="128"/>
      <c r="E20" s="122" t="s">
        <v>159</v>
      </c>
      <c r="F20" s="122"/>
      <c r="G20" s="122" t="s">
        <v>22</v>
      </c>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row>
    <row r="21" spans="1:76" s="126" customFormat="1" ht="31.6" customHeight="1">
      <c r="A21" s="127" t="s">
        <v>48</v>
      </c>
      <c r="B21" s="128"/>
      <c r="C21" s="128"/>
      <c r="D21" s="128"/>
      <c r="E21" s="122" t="s">
        <v>159</v>
      </c>
      <c r="F21" s="122"/>
      <c r="G21" s="87" t="s">
        <v>222</v>
      </c>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row>
    <row r="22" spans="1:76" s="126" customFormat="1" ht="31.6" customHeight="1">
      <c r="A22" s="127" t="s">
        <v>233</v>
      </c>
      <c r="B22" s="128"/>
      <c r="C22" s="128"/>
      <c r="D22" s="128"/>
      <c r="E22" s="122" t="s">
        <v>159</v>
      </c>
      <c r="F22" s="122"/>
      <c r="G22" s="87" t="s">
        <v>222</v>
      </c>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row>
    <row r="23" spans="1:76" s="133" customFormat="1" ht="31.6" customHeight="1">
      <c r="A23" s="131" t="s">
        <v>8</v>
      </c>
      <c r="B23" s="89"/>
      <c r="C23" s="89"/>
      <c r="D23" s="89"/>
      <c r="E23" s="87"/>
      <c r="F23" s="87"/>
      <c r="G23" s="87">
        <f>'COMBUSTIBLES '!E16</f>
        <v>301.48</v>
      </c>
      <c r="I23" s="666" t="s">
        <v>661</v>
      </c>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row>
    <row r="24" spans="1:76" s="58" customFormat="1" ht="31.6" customHeight="1" thickBot="1">
      <c r="A24" s="90" t="s">
        <v>61</v>
      </c>
      <c r="B24" s="91"/>
      <c r="C24" s="91"/>
      <c r="D24" s="91"/>
      <c r="E24" s="92" t="s">
        <v>159</v>
      </c>
      <c r="F24" s="92"/>
      <c r="G24" s="92" t="s">
        <v>22</v>
      </c>
      <c r="H24" s="59"/>
      <c r="I24" s="667" t="s">
        <v>694</v>
      </c>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row>
    <row r="25" spans="1:76" s="5" customFormat="1" ht="9.6999999999999993"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8" customFormat="1" ht="25.5" customHeight="1">
      <c r="A26" s="504" t="s">
        <v>163</v>
      </c>
      <c r="B26" s="504"/>
      <c r="C26" s="504"/>
      <c r="D26" s="504"/>
      <c r="E26" s="505"/>
      <c r="F26" s="505"/>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row>
    <row r="27" spans="1:76" s="58" customFormat="1" ht="7.5" customHeight="1">
      <c r="A27" s="506"/>
      <c r="B27" s="505"/>
      <c r="C27" s="505"/>
      <c r="D27" s="505"/>
      <c r="E27" s="505"/>
      <c r="F27" s="505"/>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row>
    <row r="28" spans="1:76" s="58" customFormat="1" ht="25.5" hidden="1" customHeight="1">
      <c r="A28" s="504" t="s">
        <v>267</v>
      </c>
      <c r="B28" s="504"/>
      <c r="C28" s="504"/>
      <c r="D28" s="504"/>
      <c r="E28" s="505"/>
      <c r="F28" s="505"/>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row>
    <row r="29" spans="1:76" s="58" customFormat="1" ht="9.6999999999999993" customHeight="1">
      <c r="A29" s="506"/>
      <c r="B29" s="505"/>
      <c r="C29" s="505"/>
      <c r="D29" s="505"/>
      <c r="E29" s="505"/>
      <c r="F29" s="505"/>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row>
    <row r="30" spans="1:76" s="58" customFormat="1" ht="32.299999999999997" customHeight="1">
      <c r="A30" s="845" t="s">
        <v>215</v>
      </c>
      <c r="B30" s="845"/>
      <c r="C30" s="845"/>
      <c r="D30" s="845"/>
      <c r="E30" s="845"/>
      <c r="F30" s="845"/>
      <c r="G30" s="845"/>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row>
    <row r="31" spans="1:76" s="58" customFormat="1" ht="6.8" customHeight="1">
      <c r="A31" s="507"/>
      <c r="B31" s="507"/>
      <c r="C31" s="507"/>
      <c r="D31" s="507"/>
      <c r="E31" s="508"/>
      <c r="F31" s="508"/>
      <c r="G31" s="508"/>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row>
    <row r="32" spans="1:76" s="510" customFormat="1" ht="24.8" customHeight="1">
      <c r="A32" s="845" t="s">
        <v>250</v>
      </c>
      <c r="B32" s="845"/>
      <c r="C32" s="845"/>
      <c r="D32" s="845"/>
      <c r="E32" s="845"/>
      <c r="F32" s="845"/>
      <c r="G32" s="845"/>
    </row>
    <row r="33" spans="1:7" s="510" customFormat="1" ht="11.25" customHeight="1">
      <c r="A33" s="511" t="s">
        <v>159</v>
      </c>
      <c r="B33" s="512"/>
      <c r="C33" s="512"/>
      <c r="D33" s="512"/>
      <c r="E33" s="509"/>
      <c r="F33" s="509"/>
      <c r="G33" s="509"/>
    </row>
    <row r="34" spans="1:7" s="510" customFormat="1" ht="32.299999999999997" customHeight="1">
      <c r="A34" s="845" t="s">
        <v>232</v>
      </c>
      <c r="B34" s="845"/>
      <c r="C34" s="845"/>
      <c r="D34" s="845"/>
      <c r="E34" s="845"/>
      <c r="F34" s="845"/>
      <c r="G34" s="845"/>
    </row>
    <row r="35" spans="1:7" s="510" customFormat="1" ht="10.55" customHeight="1">
      <c r="A35" s="507"/>
      <c r="B35" s="507"/>
      <c r="C35" s="507"/>
      <c r="D35" s="507"/>
      <c r="E35" s="509"/>
      <c r="F35" s="509"/>
      <c r="G35" s="509"/>
    </row>
    <row r="36" spans="1:7" s="510" customFormat="1" ht="42.8" customHeight="1">
      <c r="A36" s="845" t="s">
        <v>224</v>
      </c>
      <c r="B36" s="845"/>
      <c r="C36" s="845"/>
      <c r="D36" s="845"/>
      <c r="E36" s="845"/>
      <c r="F36" s="845"/>
      <c r="G36" s="845"/>
    </row>
    <row r="37" spans="1:7" s="510" customFormat="1" ht="7.5" customHeight="1">
      <c r="A37" s="511"/>
      <c r="B37" s="512"/>
      <c r="C37" s="512"/>
      <c r="D37" s="512"/>
      <c r="E37" s="509"/>
      <c r="F37" s="509"/>
      <c r="G37" s="509"/>
    </row>
    <row r="38" spans="1:7" s="510" customFormat="1" ht="31.6" customHeight="1">
      <c r="A38" s="846" t="s">
        <v>280</v>
      </c>
      <c r="B38" s="846"/>
      <c r="C38" s="846"/>
      <c r="D38" s="846"/>
      <c r="E38" s="846"/>
      <c r="F38" s="846"/>
      <c r="G38" s="846"/>
    </row>
    <row r="39" spans="1:7" s="54" customFormat="1" ht="14.3" customHeight="1">
      <c r="A39" s="844" t="s">
        <v>589</v>
      </c>
      <c r="B39" s="844"/>
      <c r="C39" s="844"/>
      <c r="D39" s="844"/>
      <c r="E39" s="844"/>
      <c r="F39" s="844"/>
      <c r="G39" s="844"/>
    </row>
    <row r="40" spans="1:7" s="54" customFormat="1">
      <c r="A40" s="844"/>
      <c r="B40" s="844"/>
      <c r="C40" s="844"/>
      <c r="D40" s="844"/>
      <c r="E40" s="844"/>
      <c r="F40" s="844"/>
      <c r="G40" s="844"/>
    </row>
    <row r="41" spans="1:7" s="54" customFormat="1">
      <c r="A41" s="844"/>
      <c r="B41" s="844"/>
      <c r="C41" s="844"/>
      <c r="D41" s="844"/>
      <c r="E41" s="844"/>
      <c r="F41" s="844"/>
      <c r="G41" s="844"/>
    </row>
    <row r="42" spans="1:7" s="54" customFormat="1">
      <c r="A42" s="844"/>
      <c r="B42" s="844"/>
      <c r="C42" s="844"/>
      <c r="D42" s="844"/>
      <c r="E42" s="844"/>
      <c r="F42" s="844"/>
      <c r="G42" s="844"/>
    </row>
    <row r="43" spans="1:7" s="54" customFormat="1">
      <c r="A43" s="502"/>
      <c r="B43" s="502"/>
      <c r="C43" s="502"/>
      <c r="D43" s="502"/>
      <c r="E43" s="502"/>
      <c r="F43" s="502"/>
      <c r="G43" s="82"/>
    </row>
    <row r="44" spans="1:7" s="54" customFormat="1">
      <c r="A44" s="844"/>
      <c r="B44" s="844"/>
      <c r="C44" s="844"/>
      <c r="D44" s="844"/>
      <c r="E44" s="844"/>
      <c r="F44" s="844"/>
      <c r="G44" s="82"/>
    </row>
    <row r="45" spans="1:7" s="54" customFormat="1" ht="93.75" customHeight="1">
      <c r="A45" s="834" t="s">
        <v>288</v>
      </c>
      <c r="B45" s="834"/>
      <c r="C45" s="834"/>
      <c r="D45" s="834"/>
      <c r="E45" s="834"/>
      <c r="F45" s="834"/>
      <c r="G45" s="834"/>
    </row>
  </sheetData>
  <sheetProtection password="C71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6"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Resoluciones, leyes</vt:lpstr>
      <vt:lpstr>TARIFAS DE TRANSPORTE</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2021-06-10T15:35:36Z</dcterms:modified>
</cp:coreProperties>
</file>